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activeTab="0"/>
  </bookViews>
  <sheets>
    <sheet name="budget summary - object code " sheetId="1" r:id="rId1"/>
  </sheets>
  <definedNames>
    <definedName name="_xlnm.Print_Area" localSheetId="0">'budget summary - object code '!$A$1:$AL$136</definedName>
    <definedName name="_xlnm.Print_Titles" localSheetId="0">'budget summary - object code '!$1:$6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N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budget transfer 200k</t>
        </r>
      </text>
    </comment>
    <comment ref="N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budget transfer 200k</t>
        </r>
      </text>
    </comment>
    <comment ref="J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budget transfer 200k</t>
        </r>
      </text>
    </comment>
    <comment ref="J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budget transfer 200k</t>
        </r>
      </text>
    </comment>
    <comment ref="AF1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change to zero
</t>
        </r>
      </text>
    </comment>
  </commentList>
</comments>
</file>

<file path=xl/sharedStrings.xml><?xml version="1.0" encoding="utf-8"?>
<sst xmlns="http://schemas.openxmlformats.org/spreadsheetml/2006/main" count="481" uniqueCount="151">
  <si>
    <t>Description</t>
  </si>
  <si>
    <t>Budget $$</t>
  </si>
  <si>
    <t>Substitute Salaries</t>
  </si>
  <si>
    <t>#</t>
  </si>
  <si>
    <t>Budget</t>
  </si>
  <si>
    <t>Under</t>
  </si>
  <si>
    <t>Encumbered</t>
  </si>
  <si>
    <t>% (Over) /</t>
  </si>
  <si>
    <t>REPORT TOTALS</t>
  </si>
  <si>
    <t>OBJECT # and DESCRIPTION</t>
  </si>
  <si>
    <t>OBJECT</t>
  </si>
  <si>
    <t>Central Office Salaries</t>
  </si>
  <si>
    <t>Directors salaries</t>
  </si>
  <si>
    <t>Principal Salaries</t>
  </si>
  <si>
    <t>Teacher Salaries</t>
  </si>
  <si>
    <t>Coaches / Clubs / Stipends</t>
  </si>
  <si>
    <t>School Nurse Salaries</t>
  </si>
  <si>
    <t>Clerical Salaries</t>
  </si>
  <si>
    <t>Aide Salaries</t>
  </si>
  <si>
    <t>custodian salaries</t>
  </si>
  <si>
    <t>maintenance salaries</t>
  </si>
  <si>
    <t>lunch aide salaries</t>
  </si>
  <si>
    <t>security / residency / attendance</t>
  </si>
  <si>
    <t>Life Insurance</t>
  </si>
  <si>
    <t>Other Insurance / Benefits</t>
  </si>
  <si>
    <t>FICA  ER EXPENSE</t>
  </si>
  <si>
    <t>MEDICARE ER EXPENSE</t>
  </si>
  <si>
    <t>CLOTHING ALLOWANCE</t>
  </si>
  <si>
    <t>PROFESSIONAL LICENSES</t>
  </si>
  <si>
    <t>UNEMPLOYMENT COMP.</t>
  </si>
  <si>
    <t>ANNUITIES / DEF. BENEFIT PLANS</t>
  </si>
  <si>
    <t>PROFESSIONAL SERVICES</t>
  </si>
  <si>
    <t>technical services</t>
  </si>
  <si>
    <t>PROPERTY SERVICES</t>
  </si>
  <si>
    <t>WATER</t>
  </si>
  <si>
    <t>REPAIR &amp; MAINT. - EQUIPMENT</t>
  </si>
  <si>
    <t>REPAIR &amp; MAINT. - BUILDINGS</t>
  </si>
  <si>
    <t>LEASE OF EQUIPMENT</t>
  </si>
  <si>
    <t>LIABILITY INSURANCE</t>
  </si>
  <si>
    <t>POSTAGE</t>
  </si>
  <si>
    <t>ADVERTISING</t>
  </si>
  <si>
    <t xml:space="preserve"> </t>
  </si>
  <si>
    <t xml:space="preserve">TUITION - NON - PUBLIC   </t>
  </si>
  <si>
    <t>ADVANCED / ALTERNATIVE ED.</t>
  </si>
  <si>
    <t>STUDENT ACTIVITIES</t>
  </si>
  <si>
    <t>INSTRUCTIONAL SUPPLIES</t>
  </si>
  <si>
    <t>MAINTENANCE SUPPLIES</t>
  </si>
  <si>
    <t>OTHER SUPPLIES / MATERIALS</t>
  </si>
  <si>
    <t>NATURAL GAS</t>
  </si>
  <si>
    <t>ELECTRICITY</t>
  </si>
  <si>
    <t>SEWER USE FEES</t>
  </si>
  <si>
    <t>TEXTBOOKS</t>
  </si>
  <si>
    <t>LIBRARY BOOKS</t>
  </si>
  <si>
    <t>PERIODICALS</t>
  </si>
  <si>
    <t>INSTRUCTIONAL SOFTWARE</t>
  </si>
  <si>
    <t>NON - INSTRUCTIONAL SOFTWARE</t>
  </si>
  <si>
    <t>INSTRUCTIONAL EQUIPMENT</t>
  </si>
  <si>
    <t>NON - INSTRUCTIONAL EQUIPMENT</t>
  </si>
  <si>
    <t>DUES AND FEES</t>
  </si>
  <si>
    <t>Revised</t>
  </si>
  <si>
    <t>Totals</t>
  </si>
  <si>
    <t xml:space="preserve">Check </t>
  </si>
  <si>
    <t>YTD $$</t>
  </si>
  <si>
    <t>ICE RINK / RENTAL</t>
  </si>
  <si>
    <t>TRANSPORTATION - ATHLETICS</t>
  </si>
  <si>
    <t>FY 11-12</t>
  </si>
  <si>
    <t>TELECOMMUNICATIONS</t>
  </si>
  <si>
    <t xml:space="preserve">PRINTING </t>
  </si>
  <si>
    <t>TRANSPORTATION - PUBLIC</t>
  </si>
  <si>
    <t xml:space="preserve">TUITION - PUBLIC - wintergreen </t>
  </si>
  <si>
    <t>ADMIN CONFERENCES</t>
  </si>
  <si>
    <t>differences</t>
  </si>
  <si>
    <t>Original</t>
  </si>
  <si>
    <t xml:space="preserve">Budget </t>
  </si>
  <si>
    <t>Transfers</t>
  </si>
  <si>
    <t>FY 12-13</t>
  </si>
  <si>
    <t>CURRICULUM DEVELOPMENT</t>
  </si>
  <si>
    <t>FURNITURE &amp; FIXTURES</t>
  </si>
  <si>
    <t>FY 13-14</t>
  </si>
  <si>
    <t>CMERS</t>
  </si>
  <si>
    <t>safety - buildings</t>
  </si>
  <si>
    <t>PROF. DEVELOPMENT</t>
  </si>
  <si>
    <t>STAFF MILEAGE REIMB.</t>
  </si>
  <si>
    <t>school climate advisors</t>
  </si>
  <si>
    <t xml:space="preserve">$ Spent </t>
  </si>
  <si>
    <t>TRANSPORTATION - NON - PUBLIC</t>
  </si>
  <si>
    <t>FY 14-15</t>
  </si>
  <si>
    <t>from</t>
  </si>
  <si>
    <t>Last Yr.</t>
  </si>
  <si>
    <t>Final - YTD</t>
  </si>
  <si>
    <t>FY 2014-15</t>
  </si>
  <si>
    <t xml:space="preserve">$$ Change </t>
  </si>
  <si>
    <t xml:space="preserve">%% Change </t>
  </si>
  <si>
    <t>Request</t>
  </si>
  <si>
    <t>FY 15-16</t>
  </si>
  <si>
    <t>OTHER SPED TRANSPORTATION</t>
  </si>
  <si>
    <t>eca - tuition public -  art (142)</t>
  </si>
  <si>
    <t>tuition public schools (201)</t>
  </si>
  <si>
    <t>tuition - tag (270)</t>
  </si>
  <si>
    <t>tuition - sound school (533)</t>
  </si>
  <si>
    <t>tuition - lyman hall (533)</t>
  </si>
  <si>
    <t>YTD Spent</t>
  </si>
  <si>
    <t xml:space="preserve">  </t>
  </si>
  <si>
    <t>Notes</t>
  </si>
  <si>
    <t>Per Contractual Obligation / MUNIS Reports</t>
  </si>
  <si>
    <t>Reductions</t>
  </si>
  <si>
    <t>CMERS expenses - Now with Town</t>
  </si>
  <si>
    <t>Stricter policy on clothing allowance</t>
  </si>
  <si>
    <t>based on increases in salary</t>
  </si>
  <si>
    <t>based on contractual obligations</t>
  </si>
  <si>
    <t>2 yr. contract ext is for 1.5% increase in 1st of 2 yrs.</t>
  </si>
  <si>
    <t>Based on actual exp. And a 5% escalation agreement and estimated new property</t>
  </si>
  <si>
    <t>estimated 3% Budget increase</t>
  </si>
  <si>
    <t>estimated 2.5% Budget increase</t>
  </si>
  <si>
    <t>estimated 2.5% budget increase</t>
  </si>
  <si>
    <t>Orig 5 Yr agreement at $250 per hr * 300 Hrs. - Mkt Rate &gt; $375 / hr.</t>
  </si>
  <si>
    <t>reduction - 2 pre-school teachers, 4 hms teachers, 6 elem teachers, 4 hhs teachers</t>
  </si>
  <si>
    <t>1 pre-school para reduction</t>
  </si>
  <si>
    <t>1 level 9 clerk</t>
  </si>
  <si>
    <t>SUPER</t>
  </si>
  <si>
    <t>discret</t>
  </si>
  <si>
    <t>non-discret.</t>
  </si>
  <si>
    <t>approved</t>
  </si>
  <si>
    <t>budget</t>
  </si>
  <si>
    <t>SALARIES</t>
  </si>
  <si>
    <t>BENEFITS</t>
  </si>
  <si>
    <t>PROF. / TECHNICAL SERVICES</t>
  </si>
  <si>
    <t>PLANT SERVICES</t>
  </si>
  <si>
    <t>CAPITAL</t>
  </si>
  <si>
    <t>TOTAL PURCHASED SERVICES</t>
  </si>
  <si>
    <t>PURCHASED SERVICES</t>
  </si>
  <si>
    <t>SUPPLIES</t>
  </si>
  <si>
    <t>Other</t>
  </si>
  <si>
    <t>adjustment</t>
  </si>
  <si>
    <t>alliance</t>
  </si>
  <si>
    <t>capital</t>
  </si>
  <si>
    <t>DISCRETIONARY, NON-DISCRETIONARY AND BUDGET ADJUSTMENTS</t>
  </si>
  <si>
    <t>BOE</t>
  </si>
  <si>
    <t>BUDGET</t>
  </si>
  <si>
    <t>transfers</t>
  </si>
  <si>
    <t>changes</t>
  </si>
  <si>
    <t xml:space="preserve">from </t>
  </si>
  <si>
    <t>last year</t>
  </si>
  <si>
    <t>Object Code # 116 was split - Now 116 and 121</t>
  </si>
  <si>
    <t>Tutors</t>
  </si>
  <si>
    <t>$ Change</t>
  </si>
  <si>
    <t xml:space="preserve">% Change </t>
  </si>
  <si>
    <t>FY 16-17</t>
  </si>
  <si>
    <t>adult education Instructors</t>
  </si>
  <si>
    <t>FS SPED TRANSPORTATION</t>
  </si>
  <si>
    <t>Leg. Council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</si>
</sst>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000000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  <numFmt numFmtId="173" formatCode="&quot;$&quot;#,##0"/>
    <numFmt numFmtId="174" formatCode="0.00000000000000%"/>
    <numFmt numFmtId="175" formatCode="0.00_);\(0.00\)"/>
    <numFmt numFmtId="176" formatCode="0.000%"/>
    <numFmt numFmtId="177" formatCode="[$-409]dddd\,\ mmmm\ dd\,\ yyyy"/>
    <numFmt numFmtId="178" formatCode="m/d/yy;@"/>
    <numFmt numFmtId="179" formatCode="_(* #,##0.000_);_(* \(#,##0.000\);_(* &quot;-&quot;???_);_(@_)"/>
    <numFmt numFmtId="180" formatCode="_(&quot;$&quot;* #,##0.000_);_(&quot;$&quot;* \(#,##0.000\);_(&quot;$&quot;* &quot;-&quot;???_);_(@_)"/>
  </numFmts>
  <fonts count="6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4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i/>
      <sz val="11"/>
      <name val="Arial"/>
      <family val="2"/>
    </font>
    <font>
      <b/>
      <u val="single"/>
      <sz val="11"/>
      <color indexed="12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7" fontId="9" fillId="0" borderId="0" xfId="44" applyNumberFormat="1" applyFont="1" applyFill="1" applyBorder="1" applyAlignment="1">
      <alignment horizontal="center"/>
    </xf>
    <xf numFmtId="168" fontId="1" fillId="0" borderId="0" xfId="59" applyNumberFormat="1" applyFont="1" applyFill="1" applyAlignment="1">
      <alignment horizontal="center"/>
    </xf>
    <xf numFmtId="167" fontId="1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1" fillId="0" borderId="10" xfId="44" applyNumberFormat="1" applyFont="1" applyFill="1" applyBorder="1" applyAlignment="1">
      <alignment horizontal="center"/>
    </xf>
    <xf numFmtId="167" fontId="9" fillId="0" borderId="10" xfId="44" applyNumberFormat="1" applyFont="1" applyFill="1" applyBorder="1" applyAlignment="1">
      <alignment horizontal="center"/>
    </xf>
    <xf numFmtId="167" fontId="9" fillId="0" borderId="10" xfId="44" applyNumberFormat="1" applyFont="1" applyFill="1" applyBorder="1" applyAlignment="1">
      <alignment horizontal="center"/>
    </xf>
    <xf numFmtId="167" fontId="9" fillId="0" borderId="11" xfId="44" applyNumberFormat="1" applyFont="1" applyFill="1" applyBorder="1" applyAlignment="1">
      <alignment horizontal="center"/>
    </xf>
    <xf numFmtId="167" fontId="9" fillId="0" borderId="11" xfId="44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7" fontId="8" fillId="0" borderId="11" xfId="44" applyNumberFormat="1" applyFont="1" applyFill="1" applyBorder="1" applyAlignment="1">
      <alignment horizontal="center"/>
    </xf>
    <xf numFmtId="167" fontId="1" fillId="0" borderId="11" xfId="44" applyNumberFormat="1" applyFont="1" applyFill="1" applyBorder="1" applyAlignment="1">
      <alignment horizontal="center"/>
    </xf>
    <xf numFmtId="167" fontId="8" fillId="0" borderId="12" xfId="44" applyNumberFormat="1" applyFont="1" applyFill="1" applyBorder="1" applyAlignment="1">
      <alignment horizontal="center"/>
    </xf>
    <xf numFmtId="167" fontId="1" fillId="0" borderId="0" xfId="44" applyNumberFormat="1" applyFont="1" applyFill="1" applyBorder="1" applyAlignment="1">
      <alignment horizontal="center"/>
    </xf>
    <xf numFmtId="167" fontId="9" fillId="0" borderId="0" xfId="44" applyNumberFormat="1" applyFont="1" applyFill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67" fontId="9" fillId="0" borderId="13" xfId="44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167" fontId="9" fillId="0" borderId="15" xfId="44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167" fontId="1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7" fontId="9" fillId="0" borderId="16" xfId="44" applyNumberFormat="1" applyFont="1" applyFill="1" applyBorder="1" applyAlignment="1">
      <alignment horizontal="center"/>
    </xf>
    <xf numFmtId="167" fontId="9" fillId="0" borderId="0" xfId="44" applyNumberFormat="1" applyFont="1" applyFill="1" applyBorder="1" applyAlignment="1">
      <alignment horizontal="center"/>
    </xf>
    <xf numFmtId="168" fontId="9" fillId="0" borderId="0" xfId="59" applyNumberFormat="1" applyFont="1" applyFill="1" applyBorder="1" applyAlignment="1">
      <alignment horizontal="center"/>
    </xf>
    <xf numFmtId="167" fontId="1" fillId="0" borderId="13" xfId="44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7" fontId="7" fillId="0" borderId="0" xfId="44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67" fontId="6" fillId="0" borderId="17" xfId="44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167" fontId="2" fillId="0" borderId="0" xfId="44" applyNumberFormat="1" applyFont="1" applyFill="1" applyBorder="1" applyAlignment="1">
      <alignment horizontal="center"/>
    </xf>
    <xf numFmtId="167" fontId="12" fillId="0" borderId="0" xfId="44" applyNumberFormat="1" applyFont="1" applyFill="1" applyBorder="1" applyAlignment="1">
      <alignment horizontal="center"/>
    </xf>
    <xf numFmtId="167" fontId="6" fillId="0" borderId="0" xfId="44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2" fillId="0" borderId="0" xfId="44" applyNumberFormat="1" applyFont="1" applyFill="1" applyBorder="1" applyAlignment="1">
      <alignment horizontal="center"/>
    </xf>
    <xf numFmtId="167" fontId="12" fillId="0" borderId="10" xfId="44" applyNumberFormat="1" applyFont="1" applyFill="1" applyBorder="1" applyAlignment="1">
      <alignment horizontal="center"/>
    </xf>
    <xf numFmtId="178" fontId="12" fillId="0" borderId="0" xfId="44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/>
    </xf>
    <xf numFmtId="168" fontId="13" fillId="0" borderId="0" xfId="59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167" fontId="1" fillId="0" borderId="0" xfId="44" applyNumberFormat="1" applyFont="1" applyFill="1" applyBorder="1" applyAlignment="1">
      <alignment horizontal="center"/>
    </xf>
    <xf numFmtId="167" fontId="9" fillId="0" borderId="13" xfId="44" applyNumberFormat="1" applyFont="1" applyFill="1" applyBorder="1" applyAlignment="1">
      <alignment horizontal="center"/>
    </xf>
    <xf numFmtId="167" fontId="1" fillId="0" borderId="13" xfId="44" applyNumberFormat="1" applyFont="1" applyFill="1" applyBorder="1" applyAlignment="1">
      <alignment horizontal="center"/>
    </xf>
    <xf numFmtId="167" fontId="1" fillId="0" borderId="19" xfId="44" applyNumberFormat="1" applyFont="1" applyFill="1" applyBorder="1" applyAlignment="1">
      <alignment horizontal="center"/>
    </xf>
    <xf numFmtId="167" fontId="9" fillId="0" borderId="11" xfId="44" applyNumberFormat="1" applyFont="1" applyFill="1" applyBorder="1" applyAlignment="1">
      <alignment horizontal="center"/>
    </xf>
    <xf numFmtId="167" fontId="9" fillId="0" borderId="18" xfId="44" applyNumberFormat="1" applyFont="1" applyFill="1" applyBorder="1" applyAlignment="1">
      <alignment horizontal="center"/>
    </xf>
    <xf numFmtId="167" fontId="9" fillId="0" borderId="20" xfId="44" applyNumberFormat="1" applyFont="1" applyFill="1" applyBorder="1" applyAlignment="1">
      <alignment horizontal="center"/>
    </xf>
    <xf numFmtId="167" fontId="1" fillId="0" borderId="21" xfId="44" applyNumberFormat="1" applyFont="1" applyFill="1" applyBorder="1" applyAlignment="1">
      <alignment horizontal="center"/>
    </xf>
    <xf numFmtId="167" fontId="1" fillId="0" borderId="22" xfId="44" applyNumberFormat="1" applyFont="1" applyFill="1" applyBorder="1" applyAlignment="1">
      <alignment horizontal="center"/>
    </xf>
    <xf numFmtId="167" fontId="9" fillId="0" borderId="15" xfId="0" applyNumberFormat="1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/>
    </xf>
    <xf numFmtId="167" fontId="1" fillId="0" borderId="14" xfId="0" applyNumberFormat="1" applyFont="1" applyFill="1" applyBorder="1" applyAlignment="1">
      <alignment/>
    </xf>
    <xf numFmtId="10" fontId="1" fillId="0" borderId="0" xfId="59" applyNumberFormat="1" applyFont="1" applyFill="1" applyAlignment="1">
      <alignment horizontal="center"/>
    </xf>
    <xf numFmtId="10" fontId="1" fillId="0" borderId="14" xfId="59" applyNumberFormat="1" applyFont="1" applyFill="1" applyBorder="1" applyAlignment="1">
      <alignment/>
    </xf>
    <xf numFmtId="10" fontId="9" fillId="0" borderId="0" xfId="59" applyNumberFormat="1" applyFont="1" applyFill="1" applyBorder="1" applyAlignment="1">
      <alignment/>
    </xf>
    <xf numFmtId="10" fontId="9" fillId="0" borderId="20" xfId="59" applyNumberFormat="1" applyFont="1" applyFill="1" applyBorder="1" applyAlignment="1">
      <alignment/>
    </xf>
    <xf numFmtId="10" fontId="1" fillId="0" borderId="21" xfId="59" applyNumberFormat="1" applyFont="1" applyFill="1" applyBorder="1" applyAlignment="1">
      <alignment/>
    </xf>
    <xf numFmtId="168" fontId="1" fillId="0" borderId="21" xfId="59" applyNumberFormat="1" applyFont="1" applyFill="1" applyBorder="1" applyAlignment="1">
      <alignment/>
    </xf>
    <xf numFmtId="10" fontId="1" fillId="0" borderId="22" xfId="59" applyNumberFormat="1" applyFont="1" applyFill="1" applyBorder="1" applyAlignment="1">
      <alignment/>
    </xf>
    <xf numFmtId="10" fontId="1" fillId="0" borderId="14" xfId="59" applyNumberFormat="1" applyFont="1" applyFill="1" applyBorder="1" applyAlignment="1">
      <alignment horizontal="center"/>
    </xf>
    <xf numFmtId="10" fontId="1" fillId="0" borderId="0" xfId="59" applyNumberFormat="1" applyFont="1" applyFill="1" applyBorder="1" applyAlignment="1">
      <alignment/>
    </xf>
    <xf numFmtId="10" fontId="1" fillId="0" borderId="0" xfId="59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1" fillId="0" borderId="0" xfId="59" applyNumberFormat="1" applyFont="1" applyFill="1" applyBorder="1" applyAlignment="1">
      <alignment/>
    </xf>
    <xf numFmtId="171" fontId="8" fillId="0" borderId="0" xfId="42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168" fontId="4" fillId="0" borderId="0" xfId="59" applyNumberFormat="1" applyFont="1" applyFill="1" applyAlignment="1">
      <alignment/>
    </xf>
    <xf numFmtId="168" fontId="4" fillId="0" borderId="0" xfId="59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7" fontId="1" fillId="0" borderId="11" xfId="44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1" fillId="0" borderId="10" xfId="44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7" fontId="4" fillId="0" borderId="0" xfId="44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9" fillId="0" borderId="18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8" fontId="1" fillId="0" borderId="0" xfId="59" applyNumberFormat="1" applyFont="1" applyFill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168" fontId="1" fillId="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7" fontId="8" fillId="0" borderId="11" xfId="44" applyNumberFormat="1" applyFont="1" applyFill="1" applyBorder="1" applyAlignment="1">
      <alignment horizontal="center"/>
    </xf>
    <xf numFmtId="167" fontId="8" fillId="0" borderId="15" xfId="44" applyNumberFormat="1" applyFont="1" applyFill="1" applyBorder="1" applyAlignment="1">
      <alignment horizontal="center"/>
    </xf>
    <xf numFmtId="167" fontId="8" fillId="0" borderId="13" xfId="44" applyNumberFormat="1" applyFont="1" applyFill="1" applyBorder="1" applyAlignment="1">
      <alignment horizontal="center"/>
    </xf>
    <xf numFmtId="167" fontId="9" fillId="0" borderId="15" xfId="44" applyNumberFormat="1" applyFont="1" applyFill="1" applyBorder="1" applyAlignment="1">
      <alignment horizontal="center"/>
    </xf>
    <xf numFmtId="167" fontId="4" fillId="0" borderId="17" xfId="44" applyNumberFormat="1" applyFont="1" applyFill="1" applyBorder="1" applyAlignment="1">
      <alignment/>
    </xf>
    <xf numFmtId="167" fontId="9" fillId="0" borderId="19" xfId="44" applyNumberFormat="1" applyFont="1" applyFill="1" applyBorder="1" applyAlignment="1">
      <alignment horizontal="center"/>
    </xf>
    <xf numFmtId="167" fontId="9" fillId="0" borderId="19" xfId="44" applyNumberFormat="1" applyFont="1" applyFill="1" applyBorder="1" applyAlignment="1">
      <alignment horizontal="center"/>
    </xf>
    <xf numFmtId="167" fontId="1" fillId="0" borderId="14" xfId="44" applyNumberFormat="1" applyFont="1" applyFill="1" applyBorder="1" applyAlignment="1">
      <alignment horizontal="center"/>
    </xf>
    <xf numFmtId="167" fontId="9" fillId="0" borderId="13" xfId="0" applyNumberFormat="1" applyFont="1" applyFill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168" fontId="4" fillId="0" borderId="22" xfId="59" applyNumberFormat="1" applyFont="1" applyFill="1" applyBorder="1" applyAlignment="1">
      <alignment horizontal="center"/>
    </xf>
    <xf numFmtId="167" fontId="8" fillId="0" borderId="12" xfId="44" applyNumberFormat="1" applyFont="1" applyFill="1" applyBorder="1" applyAlignment="1">
      <alignment horizontal="center"/>
    </xf>
    <xf numFmtId="167" fontId="9" fillId="0" borderId="25" xfId="44" applyNumberFormat="1" applyFont="1" applyFill="1" applyBorder="1" applyAlignment="1">
      <alignment horizontal="center"/>
    </xf>
    <xf numFmtId="167" fontId="8" fillId="0" borderId="21" xfId="44" applyNumberFormat="1" applyFont="1" applyFill="1" applyBorder="1" applyAlignment="1">
      <alignment horizontal="center"/>
    </xf>
    <xf numFmtId="167" fontId="8" fillId="0" borderId="22" xfId="44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7" fontId="4" fillId="0" borderId="0" xfId="44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0" fontId="9" fillId="0" borderId="14" xfId="59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167" fontId="1" fillId="0" borderId="14" xfId="59" applyNumberFormat="1" applyFont="1" applyFill="1" applyBorder="1" applyAlignment="1">
      <alignment/>
    </xf>
    <xf numFmtId="167" fontId="9" fillId="0" borderId="26" xfId="59" applyNumberFormat="1" applyFont="1" applyFill="1" applyBorder="1" applyAlignment="1">
      <alignment/>
    </xf>
    <xf numFmtId="167" fontId="1" fillId="0" borderId="0" xfId="59" applyNumberFormat="1" applyFont="1" applyFill="1" applyBorder="1" applyAlignment="1">
      <alignment/>
    </xf>
    <xf numFmtId="171" fontId="8" fillId="0" borderId="10" xfId="42" applyNumberFormat="1" applyFont="1" applyFill="1" applyBorder="1" applyAlignment="1">
      <alignment/>
    </xf>
    <xf numFmtId="168" fontId="8" fillId="0" borderId="0" xfId="59" applyNumberFormat="1" applyFont="1" applyFill="1" applyAlignment="1">
      <alignment/>
    </xf>
    <xf numFmtId="171" fontId="8" fillId="0" borderId="0" xfId="42" applyNumberFormat="1" applyFont="1" applyFill="1" applyBorder="1" applyAlignment="1">
      <alignment/>
    </xf>
    <xf numFmtId="44" fontId="16" fillId="0" borderId="0" xfId="44" applyFont="1" applyFill="1" applyAlignment="1">
      <alignment/>
    </xf>
    <xf numFmtId="167" fontId="9" fillId="0" borderId="0" xfId="0" applyNumberFormat="1" applyFont="1" applyFill="1" applyAlignment="1">
      <alignment/>
    </xf>
    <xf numFmtId="171" fontId="4" fillId="0" borderId="1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171" fontId="8" fillId="0" borderId="1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167" fontId="1" fillId="0" borderId="14" xfId="0" applyNumberFormat="1" applyFont="1" applyFill="1" applyBorder="1" applyAlignment="1">
      <alignment horizontal="center"/>
    </xf>
    <xf numFmtId="168" fontId="1" fillId="0" borderId="0" xfId="59" applyNumberFormat="1" applyFont="1" applyFill="1" applyAlignment="1">
      <alignment/>
    </xf>
    <xf numFmtId="167" fontId="16" fillId="0" borderId="0" xfId="0" applyNumberFormat="1" applyFont="1" applyFill="1" applyAlignment="1">
      <alignment horizontal="center" wrapText="1"/>
    </xf>
    <xf numFmtId="0" fontId="4" fillId="0" borderId="2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167" fontId="9" fillId="0" borderId="0" xfId="0" applyNumberFormat="1" applyFont="1" applyFill="1" applyAlignment="1">
      <alignment/>
    </xf>
    <xf numFmtId="168" fontId="1" fillId="0" borderId="0" xfId="59" applyNumberFormat="1" applyFont="1" applyFill="1" applyAlignment="1">
      <alignment/>
    </xf>
    <xf numFmtId="167" fontId="1" fillId="0" borderId="19" xfId="0" applyNumberFormat="1" applyFont="1" applyFill="1" applyBorder="1" applyAlignment="1">
      <alignment/>
    </xf>
    <xf numFmtId="168" fontId="4" fillId="0" borderId="19" xfId="59" applyNumberFormat="1" applyFont="1" applyFill="1" applyBorder="1" applyAlignment="1">
      <alignment/>
    </xf>
    <xf numFmtId="0" fontId="7" fillId="0" borderId="0" xfId="0" applyFont="1" applyFill="1" applyAlignment="1">
      <alignment/>
    </xf>
    <xf numFmtId="167" fontId="7" fillId="0" borderId="28" xfId="44" applyNumberFormat="1" applyFont="1" applyFill="1" applyBorder="1" applyAlignment="1">
      <alignment horizontal="center"/>
    </xf>
    <xf numFmtId="167" fontId="21" fillId="0" borderId="16" xfId="44" applyNumberFormat="1" applyFont="1" applyFill="1" applyBorder="1" applyAlignment="1">
      <alignment horizontal="center"/>
    </xf>
    <xf numFmtId="167" fontId="7" fillId="0" borderId="13" xfId="44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167" fontId="7" fillId="0" borderId="16" xfId="44" applyNumberFormat="1" applyFont="1" applyFill="1" applyBorder="1" applyAlignment="1">
      <alignment horizontal="center"/>
    </xf>
    <xf numFmtId="167" fontId="21" fillId="0" borderId="11" xfId="44" applyNumberFormat="1" applyFont="1" applyFill="1" applyBorder="1" applyAlignment="1">
      <alignment horizontal="center"/>
    </xf>
    <xf numFmtId="167" fontId="7" fillId="0" borderId="11" xfId="44" applyNumberFormat="1" applyFont="1" applyFill="1" applyBorder="1" applyAlignment="1">
      <alignment horizontal="center"/>
    </xf>
    <xf numFmtId="167" fontId="7" fillId="0" borderId="29" xfId="44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wrapText="1"/>
    </xf>
    <xf numFmtId="167" fontId="21" fillId="0" borderId="0" xfId="44" applyNumberFormat="1" applyFont="1" applyFill="1" applyBorder="1" applyAlignment="1">
      <alignment horizontal="center"/>
    </xf>
    <xf numFmtId="167" fontId="21" fillId="0" borderId="30" xfId="44" applyNumberFormat="1" applyFont="1" applyFill="1" applyBorder="1" applyAlignment="1">
      <alignment horizontal="center"/>
    </xf>
    <xf numFmtId="168" fontId="7" fillId="0" borderId="16" xfId="59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7" fontId="7" fillId="0" borderId="10" xfId="44" applyNumberFormat="1" applyFont="1" applyFill="1" applyBorder="1" applyAlignment="1">
      <alignment horizontal="center"/>
    </xf>
    <xf numFmtId="167" fontId="21" fillId="0" borderId="31" xfId="44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7" fontId="7" fillId="0" borderId="31" xfId="44" applyNumberFormat="1" applyFont="1" applyFill="1" applyBorder="1" applyAlignment="1">
      <alignment horizontal="center"/>
    </xf>
    <xf numFmtId="167" fontId="21" fillId="0" borderId="10" xfId="44" applyNumberFormat="1" applyFont="1" applyFill="1" applyBorder="1" applyAlignment="1">
      <alignment horizontal="center"/>
    </xf>
    <xf numFmtId="167" fontId="7" fillId="0" borderId="32" xfId="44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168" fontId="7" fillId="0" borderId="31" xfId="59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6" fillId="0" borderId="10" xfId="44" applyNumberFormat="1" applyFont="1" applyFill="1" applyBorder="1" applyAlignment="1">
      <alignment horizontal="center"/>
    </xf>
    <xf numFmtId="167" fontId="23" fillId="0" borderId="34" xfId="44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67" fontId="6" fillId="0" borderId="34" xfId="44" applyNumberFormat="1" applyFont="1" applyFill="1" applyBorder="1" applyAlignment="1">
      <alignment horizontal="center"/>
    </xf>
    <xf numFmtId="167" fontId="23" fillId="0" borderId="35" xfId="44" applyNumberFormat="1" applyFont="1" applyFill="1" applyBorder="1" applyAlignment="1">
      <alignment horizontal="center"/>
    </xf>
    <xf numFmtId="167" fontId="6" fillId="0" borderId="35" xfId="44" applyNumberFormat="1" applyFont="1" applyFill="1" applyBorder="1" applyAlignment="1">
      <alignment horizontal="center"/>
    </xf>
    <xf numFmtId="178" fontId="23" fillId="0" borderId="34" xfId="44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wrapText="1"/>
    </xf>
    <xf numFmtId="0" fontId="24" fillId="0" borderId="34" xfId="0" applyFont="1" applyFill="1" applyBorder="1" applyAlignment="1">
      <alignment horizontal="center" wrapText="1"/>
    </xf>
    <xf numFmtId="167" fontId="23" fillId="0" borderId="17" xfId="44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168" fontId="6" fillId="0" borderId="34" xfId="59" applyNumberFormat="1" applyFont="1" applyFill="1" applyBorder="1" applyAlignment="1">
      <alignment horizontal="center"/>
    </xf>
    <xf numFmtId="168" fontId="4" fillId="0" borderId="13" xfId="59" applyNumberFormat="1" applyFont="1" applyFill="1" applyBorder="1" applyAlignment="1">
      <alignment/>
    </xf>
    <xf numFmtId="167" fontId="1" fillId="0" borderId="19" xfId="0" applyNumberFormat="1" applyFont="1" applyFill="1" applyBorder="1" applyAlignment="1">
      <alignment/>
    </xf>
    <xf numFmtId="168" fontId="4" fillId="0" borderId="29" xfId="59" applyNumberFormat="1" applyFont="1" applyFill="1" applyBorder="1" applyAlignment="1">
      <alignment/>
    </xf>
    <xf numFmtId="167" fontId="1" fillId="0" borderId="13" xfId="0" applyNumberFormat="1" applyFont="1" applyFill="1" applyBorder="1" applyAlignment="1">
      <alignment/>
    </xf>
    <xf numFmtId="168" fontId="4" fillId="0" borderId="37" xfId="59" applyNumberFormat="1" applyFont="1" applyFill="1" applyBorder="1" applyAlignment="1">
      <alignment/>
    </xf>
    <xf numFmtId="168" fontId="4" fillId="0" borderId="29" xfId="59" applyNumberFormat="1" applyFont="1" applyFill="1" applyBorder="1" applyAlignment="1">
      <alignment/>
    </xf>
    <xf numFmtId="167" fontId="1" fillId="0" borderId="38" xfId="0" applyNumberFormat="1" applyFont="1" applyFill="1" applyBorder="1" applyAlignment="1">
      <alignment/>
    </xf>
    <xf numFmtId="168" fontId="4" fillId="0" borderId="16" xfId="59" applyNumberFormat="1" applyFont="1" applyFill="1" applyBorder="1" applyAlignment="1">
      <alignment/>
    </xf>
    <xf numFmtId="165" fontId="1" fillId="0" borderId="39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129</xdr:row>
      <xdr:rowOff>142875</xdr:rowOff>
    </xdr:from>
    <xdr:to>
      <xdr:col>11</xdr:col>
      <xdr:colOff>0</xdr:colOff>
      <xdr:row>132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4438650" y="27251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129</xdr:row>
      <xdr:rowOff>85725</xdr:rowOff>
    </xdr:from>
    <xdr:to>
      <xdr:col>11</xdr:col>
      <xdr:colOff>0</xdr:colOff>
      <xdr:row>132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438650" y="271938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129</xdr:row>
      <xdr:rowOff>66675</xdr:rowOff>
    </xdr:from>
    <xdr:to>
      <xdr:col>11</xdr:col>
      <xdr:colOff>0</xdr:colOff>
      <xdr:row>132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4438650" y="271748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129</xdr:row>
      <xdr:rowOff>76200</xdr:rowOff>
    </xdr:from>
    <xdr:to>
      <xdr:col>11</xdr:col>
      <xdr:colOff>0</xdr:colOff>
      <xdr:row>134</xdr:row>
      <xdr:rowOff>152400</xdr:rowOff>
    </xdr:to>
    <xdr:sp>
      <xdr:nvSpPr>
        <xdr:cNvPr id="4" name="Freeform 4"/>
        <xdr:cNvSpPr>
          <a:spLocks/>
        </xdr:cNvSpPr>
      </xdr:nvSpPr>
      <xdr:spPr>
        <a:xfrm>
          <a:off x="4438650" y="27184350"/>
          <a:ext cx="0" cy="1038225"/>
        </a:xfrm>
        <a:custGeom>
          <a:pathLst>
            <a:path h="68" w="110">
              <a:moveTo>
                <a:pt x="0" y="0"/>
              </a:moveTo>
              <a:cubicBezTo>
                <a:pt x="3" y="68"/>
                <a:pt x="110" y="68"/>
                <a:pt x="11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6"/>
  <sheetViews>
    <sheetView tabSelected="1" zoomScalePageLayoutView="0" workbookViewId="0" topLeftCell="A1">
      <pane xSplit="4" ySplit="6" topLeftCell="J1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L129" sqref="AL129"/>
    </sheetView>
  </sheetViews>
  <sheetFormatPr defaultColWidth="9.140625" defaultRowHeight="12.75"/>
  <cols>
    <col min="1" max="1" width="10.7109375" style="29" bestFit="1" customWidth="1"/>
    <col min="2" max="2" width="40.28125" style="106" bestFit="1" customWidth="1"/>
    <col min="3" max="4" width="15.57421875" style="29" hidden="1" customWidth="1"/>
    <col min="5" max="6" width="15.57421875" style="84" hidden="1" customWidth="1"/>
    <col min="7" max="7" width="16.8515625" style="81" hidden="1" customWidth="1"/>
    <col min="8" max="8" width="11.140625" style="81" hidden="1" customWidth="1"/>
    <col min="9" max="9" width="6.8515625" style="82" hidden="1" customWidth="1"/>
    <col min="10" max="10" width="15.57421875" style="82" bestFit="1" customWidth="1"/>
    <col min="11" max="11" width="0.42578125" style="82" hidden="1" customWidth="1"/>
    <col min="12" max="12" width="15.57421875" style="86" hidden="1" customWidth="1"/>
    <col min="13" max="13" width="13.140625" style="29" hidden="1" customWidth="1"/>
    <col min="14" max="15" width="15.57421875" style="29" hidden="1" customWidth="1"/>
    <col min="16" max="16" width="0.42578125" style="29" hidden="1" customWidth="1"/>
    <col min="17" max="17" width="15.7109375" style="29" hidden="1" customWidth="1"/>
    <col min="18" max="19" width="15.57421875" style="84" hidden="1" customWidth="1"/>
    <col min="20" max="20" width="14.28125" style="81" hidden="1" customWidth="1"/>
    <col min="21" max="21" width="13.28125" style="81" hidden="1" customWidth="1"/>
    <col min="22" max="23" width="39.421875" style="21" hidden="1" customWidth="1"/>
    <col min="24" max="24" width="15.57421875" style="86" hidden="1" customWidth="1"/>
    <col min="25" max="25" width="15.421875" style="86" hidden="1" customWidth="1"/>
    <col min="26" max="27" width="15.57421875" style="29" hidden="1" customWidth="1"/>
    <col min="28" max="28" width="0.42578125" style="29" hidden="1" customWidth="1"/>
    <col min="29" max="29" width="15.57421875" style="29" bestFit="1" customWidth="1"/>
    <col min="30" max="30" width="15.57421875" style="29" hidden="1" customWidth="1"/>
    <col min="31" max="31" width="15.57421875" style="29" bestFit="1" customWidth="1"/>
    <col min="32" max="32" width="12.28125" style="84" hidden="1" customWidth="1"/>
    <col min="33" max="33" width="14.28125" style="84" hidden="1" customWidth="1"/>
    <col min="34" max="34" width="11.00390625" style="81" hidden="1" customWidth="1"/>
    <col min="35" max="35" width="14.28125" style="81" hidden="1" customWidth="1"/>
    <col min="36" max="36" width="0.42578125" style="81" hidden="1" customWidth="1"/>
    <col min="37" max="37" width="14.28125" style="81" hidden="1" customWidth="1"/>
    <col min="38" max="38" width="12.00390625" style="88" bestFit="1" customWidth="1"/>
    <col min="39" max="39" width="18.7109375" style="38" hidden="1" customWidth="1"/>
    <col min="40" max="16384" width="9.140625" style="29" customWidth="1"/>
  </cols>
  <sheetData>
    <row r="1" spans="1:38" ht="30" customHeight="1">
      <c r="A1" s="83"/>
      <c r="B1" s="29"/>
      <c r="I1" s="81"/>
      <c r="J1" s="81"/>
      <c r="K1" s="85"/>
      <c r="L1" s="81"/>
      <c r="M1" s="81"/>
      <c r="N1" s="81"/>
      <c r="O1" s="81"/>
      <c r="P1" s="81"/>
      <c r="Q1" s="81"/>
      <c r="R1" s="86"/>
      <c r="S1" s="86"/>
      <c r="T1" s="29"/>
      <c r="U1" s="29"/>
      <c r="AF1" s="212" t="s">
        <v>136</v>
      </c>
      <c r="AG1" s="213"/>
      <c r="AH1" s="213"/>
      <c r="AI1" s="214"/>
      <c r="AJ1" s="29"/>
      <c r="AK1" s="29"/>
      <c r="AL1" s="87"/>
    </row>
    <row r="2" spans="2:21" ht="7.5" customHeight="1">
      <c r="B2" s="29"/>
      <c r="I2" s="81"/>
      <c r="J2" s="81"/>
      <c r="K2" s="85"/>
      <c r="L2" s="81"/>
      <c r="M2" s="81"/>
      <c r="N2" s="81"/>
      <c r="O2" s="81"/>
      <c r="P2" s="81"/>
      <c r="Q2" s="81"/>
      <c r="R2" s="86"/>
      <c r="S2" s="86"/>
      <c r="T2" s="29"/>
      <c r="U2" s="29"/>
    </row>
    <row r="3" spans="1:38" ht="18.75" thickBot="1">
      <c r="A3" s="215" t="s">
        <v>9</v>
      </c>
      <c r="B3" s="216"/>
      <c r="C3" s="81"/>
      <c r="D3" s="81"/>
      <c r="E3" s="86"/>
      <c r="F3" s="86"/>
      <c r="G3" s="29"/>
      <c r="H3" s="29"/>
      <c r="J3" s="30" t="s">
        <v>94</v>
      </c>
      <c r="K3" s="85"/>
      <c r="L3" s="217" t="s">
        <v>90</v>
      </c>
      <c r="M3" s="218"/>
      <c r="N3" s="218"/>
      <c r="O3" s="89"/>
      <c r="P3" s="89"/>
      <c r="Q3" s="89"/>
      <c r="R3" s="90"/>
      <c r="S3" s="90"/>
      <c r="T3" s="29"/>
      <c r="U3" s="29"/>
      <c r="X3" s="31"/>
      <c r="Y3" s="31"/>
      <c r="Z3" s="32" t="s">
        <v>41</v>
      </c>
      <c r="AA3" s="19"/>
      <c r="AB3" s="19"/>
      <c r="AC3" s="32" t="s">
        <v>41</v>
      </c>
      <c r="AD3" s="19"/>
      <c r="AE3" s="19"/>
      <c r="AF3" s="19"/>
      <c r="AG3" s="19"/>
      <c r="AH3" s="19"/>
      <c r="AI3" s="19"/>
      <c r="AJ3" s="19"/>
      <c r="AK3" s="19"/>
      <c r="AL3" s="34"/>
    </row>
    <row r="4" spans="1:38" ht="15">
      <c r="A4" s="160"/>
      <c r="B4" s="160"/>
      <c r="C4" s="161" t="s">
        <v>72</v>
      </c>
      <c r="D4" s="161" t="s">
        <v>73</v>
      </c>
      <c r="E4" s="162" t="s">
        <v>75</v>
      </c>
      <c r="F4" s="162" t="s">
        <v>78</v>
      </c>
      <c r="G4" s="163" t="s">
        <v>78</v>
      </c>
      <c r="H4" s="36" t="s">
        <v>7</v>
      </c>
      <c r="I4" s="164"/>
      <c r="J4" s="165" t="s">
        <v>150</v>
      </c>
      <c r="K4" s="164"/>
      <c r="L4" s="166" t="s">
        <v>72</v>
      </c>
      <c r="M4" s="167" t="s">
        <v>73</v>
      </c>
      <c r="N4" s="165" t="s">
        <v>59</v>
      </c>
      <c r="O4" s="168"/>
      <c r="P4" s="168"/>
      <c r="Q4" s="162" t="s">
        <v>86</v>
      </c>
      <c r="R4" s="162" t="s">
        <v>4</v>
      </c>
      <c r="S4" s="162" t="s">
        <v>4</v>
      </c>
      <c r="T4" s="168" t="s">
        <v>91</v>
      </c>
      <c r="U4" s="165" t="s">
        <v>92</v>
      </c>
      <c r="V4" s="169"/>
      <c r="W4" s="169"/>
      <c r="X4" s="162" t="s">
        <v>4</v>
      </c>
      <c r="Y4" s="162" t="s">
        <v>132</v>
      </c>
      <c r="Z4" s="162" t="s">
        <v>119</v>
      </c>
      <c r="AA4" s="160"/>
      <c r="AB4" s="163"/>
      <c r="AC4" s="162" t="s">
        <v>137</v>
      </c>
      <c r="AD4" s="170"/>
      <c r="AE4" s="170" t="s">
        <v>145</v>
      </c>
      <c r="AF4" s="171"/>
      <c r="AG4" s="171"/>
      <c r="AH4" s="37" t="s">
        <v>123</v>
      </c>
      <c r="AI4" s="37" t="s">
        <v>123</v>
      </c>
      <c r="AJ4" s="37"/>
      <c r="AK4" s="168" t="s">
        <v>91</v>
      </c>
      <c r="AL4" s="172" t="s">
        <v>146</v>
      </c>
    </row>
    <row r="5" spans="1:39" s="2" customFormat="1" ht="15.75">
      <c r="A5" s="173" t="s">
        <v>10</v>
      </c>
      <c r="B5" s="174" t="s">
        <v>10</v>
      </c>
      <c r="C5" s="175" t="s">
        <v>1</v>
      </c>
      <c r="D5" s="175" t="s">
        <v>74</v>
      </c>
      <c r="E5" s="176" t="s">
        <v>89</v>
      </c>
      <c r="F5" s="176" t="s">
        <v>89</v>
      </c>
      <c r="G5" s="37" t="s">
        <v>62</v>
      </c>
      <c r="H5" s="37" t="s">
        <v>5</v>
      </c>
      <c r="I5" s="177" t="s">
        <v>61</v>
      </c>
      <c r="J5" s="178" t="s">
        <v>122</v>
      </c>
      <c r="K5" s="164"/>
      <c r="L5" s="179" t="s">
        <v>1</v>
      </c>
      <c r="M5" s="175" t="s">
        <v>74</v>
      </c>
      <c r="N5" s="178" t="s">
        <v>4</v>
      </c>
      <c r="O5" s="180" t="s">
        <v>123</v>
      </c>
      <c r="P5" s="180"/>
      <c r="Q5" s="176" t="s">
        <v>101</v>
      </c>
      <c r="R5" s="176" t="s">
        <v>93</v>
      </c>
      <c r="S5" s="176" t="s">
        <v>119</v>
      </c>
      <c r="T5" s="181" t="s">
        <v>87</v>
      </c>
      <c r="U5" s="182" t="s">
        <v>87</v>
      </c>
      <c r="V5" s="169"/>
      <c r="W5" s="169"/>
      <c r="X5" s="176" t="s">
        <v>105</v>
      </c>
      <c r="Y5" s="176" t="s">
        <v>105</v>
      </c>
      <c r="Z5" s="176" t="s">
        <v>138</v>
      </c>
      <c r="AA5" s="174"/>
      <c r="AB5" s="183"/>
      <c r="AC5" s="176" t="s">
        <v>138</v>
      </c>
      <c r="AD5" s="170" t="s">
        <v>137</v>
      </c>
      <c r="AE5" s="170" t="s">
        <v>141</v>
      </c>
      <c r="AF5" s="184"/>
      <c r="AG5" s="184"/>
      <c r="AH5" s="183" t="s">
        <v>133</v>
      </c>
      <c r="AI5" s="183" t="s">
        <v>133</v>
      </c>
      <c r="AJ5" s="183"/>
      <c r="AK5" s="181" t="s">
        <v>87</v>
      </c>
      <c r="AL5" s="185" t="s">
        <v>87</v>
      </c>
      <c r="AM5" s="38"/>
    </row>
    <row r="6" spans="1:39" s="39" customFormat="1" ht="15.75">
      <c r="A6" s="186" t="s">
        <v>3</v>
      </c>
      <c r="B6" s="187" t="s">
        <v>0</v>
      </c>
      <c r="C6" s="188" t="s">
        <v>65</v>
      </c>
      <c r="D6" s="188" t="s">
        <v>75</v>
      </c>
      <c r="E6" s="189" t="s">
        <v>84</v>
      </c>
      <c r="F6" s="189" t="s">
        <v>84</v>
      </c>
      <c r="G6" s="40" t="s">
        <v>6</v>
      </c>
      <c r="H6" s="40" t="s">
        <v>4</v>
      </c>
      <c r="I6" s="190" t="s">
        <v>60</v>
      </c>
      <c r="J6" s="191" t="s">
        <v>123</v>
      </c>
      <c r="K6" s="164"/>
      <c r="L6" s="192" t="s">
        <v>78</v>
      </c>
      <c r="M6" s="193" t="s">
        <v>78</v>
      </c>
      <c r="N6" s="191" t="s">
        <v>86</v>
      </c>
      <c r="O6" s="40" t="s">
        <v>139</v>
      </c>
      <c r="P6" s="40"/>
      <c r="Q6" s="194">
        <v>42004</v>
      </c>
      <c r="R6" s="189" t="s">
        <v>94</v>
      </c>
      <c r="S6" s="189" t="s">
        <v>94</v>
      </c>
      <c r="T6" s="195" t="s">
        <v>88</v>
      </c>
      <c r="U6" s="196" t="s">
        <v>88</v>
      </c>
      <c r="V6" s="197" t="s">
        <v>103</v>
      </c>
      <c r="W6" s="198"/>
      <c r="X6" s="189" t="s">
        <v>94</v>
      </c>
      <c r="Y6" s="189" t="s">
        <v>94</v>
      </c>
      <c r="Z6" s="189" t="s">
        <v>94</v>
      </c>
      <c r="AA6" s="187"/>
      <c r="AB6" s="195"/>
      <c r="AC6" s="189" t="s">
        <v>147</v>
      </c>
      <c r="AD6" s="199" t="s">
        <v>140</v>
      </c>
      <c r="AE6" s="199" t="s">
        <v>142</v>
      </c>
      <c r="AF6" s="200" t="s">
        <v>120</v>
      </c>
      <c r="AG6" s="200" t="s">
        <v>121</v>
      </c>
      <c r="AH6" s="195" t="s">
        <v>134</v>
      </c>
      <c r="AI6" s="195" t="s">
        <v>135</v>
      </c>
      <c r="AJ6" s="195"/>
      <c r="AK6" s="195" t="s">
        <v>88</v>
      </c>
      <c r="AL6" s="201" t="s">
        <v>88</v>
      </c>
      <c r="AM6" s="41" t="s">
        <v>103</v>
      </c>
    </row>
    <row r="7" spans="1:39" s="39" customFormat="1" ht="18">
      <c r="A7" s="219" t="s">
        <v>124</v>
      </c>
      <c r="B7" s="220"/>
      <c r="C7" s="42"/>
      <c r="D7" s="42"/>
      <c r="E7" s="43"/>
      <c r="F7" s="43"/>
      <c r="G7" s="46"/>
      <c r="H7" s="44"/>
      <c r="I7" s="45"/>
      <c r="J7" s="46"/>
      <c r="K7" s="85"/>
      <c r="L7" s="47"/>
      <c r="M7" s="46"/>
      <c r="N7" s="46"/>
      <c r="O7" s="46"/>
      <c r="P7" s="46"/>
      <c r="Q7" s="48"/>
      <c r="R7" s="43"/>
      <c r="S7" s="43"/>
      <c r="T7" s="49"/>
      <c r="U7" s="49"/>
      <c r="V7" s="50"/>
      <c r="W7" s="50"/>
      <c r="X7" s="43"/>
      <c r="Y7" s="43"/>
      <c r="Z7" s="43"/>
      <c r="AA7" s="94"/>
      <c r="AB7" s="49"/>
      <c r="AC7" s="43"/>
      <c r="AD7" s="43"/>
      <c r="AE7" s="43"/>
      <c r="AF7" s="51"/>
      <c r="AG7" s="51"/>
      <c r="AH7" s="49"/>
      <c r="AI7" s="49"/>
      <c r="AJ7" s="49"/>
      <c r="AK7" s="49"/>
      <c r="AL7" s="52"/>
      <c r="AM7" s="41"/>
    </row>
    <row r="8" spans="1:39" s="6" customFormat="1" ht="15.75">
      <c r="A8" s="95">
        <v>111</v>
      </c>
      <c r="B8" s="92" t="s">
        <v>11</v>
      </c>
      <c r="C8" s="93">
        <v>1461084</v>
      </c>
      <c r="D8" s="54"/>
      <c r="E8" s="33">
        <v>1432918</v>
      </c>
      <c r="F8" s="33">
        <v>1487117</v>
      </c>
      <c r="G8" s="33">
        <v>0</v>
      </c>
      <c r="H8" s="4" t="e">
        <f>#REF!-#REF!</f>
        <v>#REF!</v>
      </c>
      <c r="I8" s="5" t="e">
        <f>#REF!-F8-G8-#REF!</f>
        <v>#REF!</v>
      </c>
      <c r="J8" s="54">
        <v>1622729</v>
      </c>
      <c r="K8" s="85"/>
      <c r="L8" s="8">
        <v>1433537</v>
      </c>
      <c r="M8" s="54">
        <v>0</v>
      </c>
      <c r="N8" s="54">
        <v>1533524</v>
      </c>
      <c r="O8" s="54">
        <f>N8-J8</f>
        <v>-89205</v>
      </c>
      <c r="P8" s="33"/>
      <c r="Q8" s="33">
        <v>800344.87</v>
      </c>
      <c r="R8" s="33">
        <f>1633710.11+15000</f>
        <v>1648710.11</v>
      </c>
      <c r="S8" s="33">
        <f>1633710.11+15000</f>
        <v>1648710.11</v>
      </c>
      <c r="T8" s="96">
        <f>S8-N8</f>
        <v>115186.1100000001</v>
      </c>
      <c r="U8" s="97">
        <f aca="true" t="shared" si="0" ref="U8:U23">R8/N8-1</f>
        <v>0.07511203606855843</v>
      </c>
      <c r="V8" s="21" t="s">
        <v>104</v>
      </c>
      <c r="W8" s="21"/>
      <c r="X8" s="19">
        <v>0</v>
      </c>
      <c r="Y8" s="19">
        <v>0</v>
      </c>
      <c r="Z8" s="53">
        <v>1648710</v>
      </c>
      <c r="AA8" s="98"/>
      <c r="AB8" s="53"/>
      <c r="AC8" s="53">
        <v>1748607</v>
      </c>
      <c r="AD8" s="53">
        <f>AC8-Z8</f>
        <v>99897</v>
      </c>
      <c r="AE8" s="53">
        <f>AC8-J8</f>
        <v>125878</v>
      </c>
      <c r="AF8" s="99"/>
      <c r="AG8" s="99">
        <v>89205</v>
      </c>
      <c r="AH8" s="100"/>
      <c r="AI8" s="100"/>
      <c r="AJ8" s="100"/>
      <c r="AK8" s="27">
        <f>Z8-N8</f>
        <v>115186</v>
      </c>
      <c r="AL8" s="87">
        <f>AC8/J8-1</f>
        <v>0.07757179418128346</v>
      </c>
      <c r="AM8" s="24"/>
    </row>
    <row r="9" spans="1:39" s="6" customFormat="1" ht="15.75">
      <c r="A9" s="1">
        <v>112</v>
      </c>
      <c r="B9" s="2" t="s">
        <v>12</v>
      </c>
      <c r="C9" s="7">
        <v>1045373</v>
      </c>
      <c r="D9" s="18"/>
      <c r="E9" s="3">
        <v>1226372</v>
      </c>
      <c r="F9" s="3">
        <v>1238867</v>
      </c>
      <c r="G9" s="3">
        <v>0</v>
      </c>
      <c r="H9" s="101" t="e">
        <f>#REF!-#REF!</f>
        <v>#REF!</v>
      </c>
      <c r="I9" s="5" t="e">
        <f>#REF!-F9-G9-#REF!</f>
        <v>#REF!</v>
      </c>
      <c r="J9" s="54">
        <v>1559643</v>
      </c>
      <c r="K9" s="85"/>
      <c r="L9" s="8">
        <v>1324309</v>
      </c>
      <c r="M9" s="54"/>
      <c r="N9" s="54">
        <v>1331430</v>
      </c>
      <c r="O9" s="54">
        <f aca="true" t="shared" si="1" ref="O9:O76">N9-J9</f>
        <v>-228213</v>
      </c>
      <c r="P9" s="33"/>
      <c r="Q9" s="33">
        <v>659048.79</v>
      </c>
      <c r="R9" s="33">
        <f>1205948.4+131765</f>
        <v>1337713.4</v>
      </c>
      <c r="S9" s="33">
        <v>1205948.4</v>
      </c>
      <c r="T9" s="96">
        <f aca="true" t="shared" si="2" ref="T9:T23">S9-N9</f>
        <v>-125481.6000000001</v>
      </c>
      <c r="U9" s="97">
        <f t="shared" si="0"/>
        <v>0.004719286781881049</v>
      </c>
      <c r="V9" s="21" t="s">
        <v>104</v>
      </c>
      <c r="W9" s="21"/>
      <c r="X9" s="19">
        <v>0</v>
      </c>
      <c r="Y9" s="19">
        <v>0</v>
      </c>
      <c r="Z9" s="53">
        <v>1337713</v>
      </c>
      <c r="AA9" s="98"/>
      <c r="AB9" s="53"/>
      <c r="AC9" s="53">
        <v>1621751</v>
      </c>
      <c r="AD9" s="53">
        <f aca="true" t="shared" si="3" ref="AD9:AD76">AC9-Z9</f>
        <v>284038</v>
      </c>
      <c r="AE9" s="53">
        <f aca="true" t="shared" si="4" ref="AE9:AE75">AC9-J9</f>
        <v>62108</v>
      </c>
      <c r="AF9" s="99"/>
      <c r="AG9" s="99">
        <v>248027</v>
      </c>
      <c r="AH9" s="100"/>
      <c r="AI9" s="100"/>
      <c r="AJ9" s="100"/>
      <c r="AK9" s="27">
        <f aca="true" t="shared" si="5" ref="AK9:AK23">Z9-N9</f>
        <v>6283</v>
      </c>
      <c r="AL9" s="87">
        <f aca="true" t="shared" si="6" ref="AL9:AL76">AC9/J9-1</f>
        <v>0.03982193360916564</v>
      </c>
      <c r="AM9" s="24"/>
    </row>
    <row r="10" spans="1:39" s="6" customFormat="1" ht="15.75">
      <c r="A10" s="1">
        <v>113</v>
      </c>
      <c r="B10" s="2" t="s">
        <v>13</v>
      </c>
      <c r="C10" s="7">
        <v>1987776</v>
      </c>
      <c r="D10" s="18"/>
      <c r="E10" s="3">
        <v>2015100</v>
      </c>
      <c r="F10" s="3">
        <v>2023444</v>
      </c>
      <c r="G10" s="3">
        <v>0</v>
      </c>
      <c r="H10" s="101" t="e">
        <f>#REF!-#REF!</f>
        <v>#REF!</v>
      </c>
      <c r="I10" s="5" t="e">
        <f>#REF!-F10-G10-#REF!</f>
        <v>#REF!</v>
      </c>
      <c r="J10" s="54">
        <v>2164992</v>
      </c>
      <c r="K10" s="85"/>
      <c r="L10" s="8">
        <v>2245286</v>
      </c>
      <c r="M10" s="54"/>
      <c r="N10" s="54">
        <v>2118364</v>
      </c>
      <c r="O10" s="54">
        <f t="shared" si="1"/>
        <v>-46628</v>
      </c>
      <c r="P10" s="33"/>
      <c r="Q10" s="33">
        <v>1028262.12</v>
      </c>
      <c r="R10" s="33">
        <v>2175408.39</v>
      </c>
      <c r="S10" s="33">
        <v>2175408.39</v>
      </c>
      <c r="T10" s="96">
        <f t="shared" si="2"/>
        <v>57044.39000000013</v>
      </c>
      <c r="U10" s="97">
        <f t="shared" si="0"/>
        <v>0.026928511813833822</v>
      </c>
      <c r="V10" s="21" t="s">
        <v>104</v>
      </c>
      <c r="W10" s="21"/>
      <c r="X10" s="19">
        <v>0</v>
      </c>
      <c r="Y10" s="19">
        <v>0</v>
      </c>
      <c r="Z10" s="53">
        <v>2175408</v>
      </c>
      <c r="AA10" s="98"/>
      <c r="AB10" s="53"/>
      <c r="AC10" s="53">
        <v>2221462</v>
      </c>
      <c r="AD10" s="53">
        <f t="shared" si="3"/>
        <v>46054</v>
      </c>
      <c r="AE10" s="53">
        <f t="shared" si="4"/>
        <v>56470</v>
      </c>
      <c r="AF10" s="99"/>
      <c r="AG10" s="99">
        <v>46628</v>
      </c>
      <c r="AH10" s="100"/>
      <c r="AI10" s="100"/>
      <c r="AJ10" s="100"/>
      <c r="AK10" s="27">
        <f t="shared" si="5"/>
        <v>57044</v>
      </c>
      <c r="AL10" s="87">
        <f t="shared" si="6"/>
        <v>0.026083237259075354</v>
      </c>
      <c r="AM10" s="24"/>
    </row>
    <row r="11" spans="1:39" s="6" customFormat="1" ht="56.25">
      <c r="A11" s="1">
        <v>114</v>
      </c>
      <c r="B11" s="2" t="s">
        <v>14</v>
      </c>
      <c r="C11" s="7">
        <v>38008257</v>
      </c>
      <c r="D11" s="18"/>
      <c r="E11" s="3">
        <v>37708305.62</v>
      </c>
      <c r="F11" s="3">
        <v>37753135</v>
      </c>
      <c r="G11" s="3">
        <v>0</v>
      </c>
      <c r="H11" s="101" t="e">
        <f>#REF!-#REF!</f>
        <v>#REF!</v>
      </c>
      <c r="I11" s="5" t="e">
        <f>#REF!-F11-G11-#REF!</f>
        <v>#REF!</v>
      </c>
      <c r="J11" s="54">
        <v>38435841</v>
      </c>
      <c r="K11" s="85"/>
      <c r="L11" s="8">
        <v>37206715</v>
      </c>
      <c r="M11" s="54">
        <v>0</v>
      </c>
      <c r="N11" s="54">
        <v>37744763</v>
      </c>
      <c r="O11" s="54">
        <f t="shared" si="1"/>
        <v>-691078</v>
      </c>
      <c r="P11" s="33"/>
      <c r="Q11" s="33">
        <v>13572079</v>
      </c>
      <c r="R11" s="33">
        <v>39735841</v>
      </c>
      <c r="S11" s="33">
        <v>39735841</v>
      </c>
      <c r="T11" s="96">
        <f t="shared" si="2"/>
        <v>1991078</v>
      </c>
      <c r="U11" s="97">
        <f t="shared" si="0"/>
        <v>0.0527511061600785</v>
      </c>
      <c r="V11" s="21" t="s">
        <v>104</v>
      </c>
      <c r="W11" s="21"/>
      <c r="X11" s="19">
        <f>-100000-200000-300000-200000</f>
        <v>-800000</v>
      </c>
      <c r="Y11" s="19">
        <v>0</v>
      </c>
      <c r="Z11" s="53">
        <v>38935841</v>
      </c>
      <c r="AA11" s="98"/>
      <c r="AB11" s="53"/>
      <c r="AC11" s="53">
        <v>38254293</v>
      </c>
      <c r="AD11" s="53">
        <f t="shared" si="3"/>
        <v>-681548</v>
      </c>
      <c r="AE11" s="53">
        <f t="shared" si="4"/>
        <v>-181548</v>
      </c>
      <c r="AF11" s="99"/>
      <c r="AG11" s="99">
        <v>528981</v>
      </c>
      <c r="AH11" s="100"/>
      <c r="AI11" s="100"/>
      <c r="AJ11" s="100"/>
      <c r="AK11" s="27">
        <f t="shared" si="5"/>
        <v>1191078</v>
      </c>
      <c r="AL11" s="87">
        <f t="shared" si="6"/>
        <v>-0.0047234038667191</v>
      </c>
      <c r="AM11" s="24" t="s">
        <v>116</v>
      </c>
    </row>
    <row r="12" spans="1:39" s="14" customFormat="1" ht="15.75">
      <c r="A12" s="102">
        <v>115</v>
      </c>
      <c r="B12" s="13" t="s">
        <v>2</v>
      </c>
      <c r="C12" s="7">
        <v>730300</v>
      </c>
      <c r="D12" s="18"/>
      <c r="E12" s="3">
        <v>1088970</v>
      </c>
      <c r="F12" s="3">
        <v>1106944</v>
      </c>
      <c r="G12" s="3">
        <v>0</v>
      </c>
      <c r="H12" s="103" t="e">
        <f>#REF!-#REF!</f>
        <v>#REF!</v>
      </c>
      <c r="I12" s="5" t="e">
        <f>#REF!-F12-G12-#REF!</f>
        <v>#REF!</v>
      </c>
      <c r="J12" s="54">
        <v>900000</v>
      </c>
      <c r="K12" s="85"/>
      <c r="L12" s="8">
        <v>730300</v>
      </c>
      <c r="M12" s="54">
        <v>95000</v>
      </c>
      <c r="N12" s="54">
        <v>876063</v>
      </c>
      <c r="O12" s="54">
        <f t="shared" si="1"/>
        <v>-23937</v>
      </c>
      <c r="P12" s="33"/>
      <c r="Q12" s="33">
        <v>515094</v>
      </c>
      <c r="R12" s="33">
        <v>900000</v>
      </c>
      <c r="S12" s="33">
        <v>900000</v>
      </c>
      <c r="T12" s="96">
        <f t="shared" si="2"/>
        <v>23937</v>
      </c>
      <c r="U12" s="97">
        <f t="shared" si="0"/>
        <v>0.027323377428335682</v>
      </c>
      <c r="V12" s="21" t="s">
        <v>104</v>
      </c>
      <c r="W12" s="21"/>
      <c r="X12" s="19">
        <v>0</v>
      </c>
      <c r="Y12" s="19">
        <v>0</v>
      </c>
      <c r="Z12" s="53">
        <v>900000</v>
      </c>
      <c r="AA12" s="104"/>
      <c r="AB12" s="53"/>
      <c r="AC12" s="53">
        <v>1000000</v>
      </c>
      <c r="AD12" s="53">
        <f t="shared" si="3"/>
        <v>100000</v>
      </c>
      <c r="AE12" s="53">
        <f t="shared" si="4"/>
        <v>100000</v>
      </c>
      <c r="AF12" s="99">
        <v>0</v>
      </c>
      <c r="AG12" s="99">
        <v>223937</v>
      </c>
      <c r="AH12" s="100"/>
      <c r="AI12" s="100"/>
      <c r="AJ12" s="100"/>
      <c r="AK12" s="27">
        <f t="shared" si="5"/>
        <v>23937</v>
      </c>
      <c r="AL12" s="87">
        <f t="shared" si="6"/>
        <v>0.11111111111111116</v>
      </c>
      <c r="AM12" s="24"/>
    </row>
    <row r="13" spans="1:39" s="14" customFormat="1" ht="33.75">
      <c r="A13" s="12">
        <v>116</v>
      </c>
      <c r="B13" s="13" t="s">
        <v>144</v>
      </c>
      <c r="C13" s="7">
        <v>634512</v>
      </c>
      <c r="D13" s="18"/>
      <c r="E13" s="3">
        <v>1123506</v>
      </c>
      <c r="F13" s="3">
        <v>950203</v>
      </c>
      <c r="G13" s="3">
        <v>0</v>
      </c>
      <c r="H13" s="103" t="e">
        <f>#REF!-#REF!</f>
        <v>#REF!</v>
      </c>
      <c r="I13" s="5" t="e">
        <f>#REF!-F13-G13-#REF!</f>
        <v>#REF!</v>
      </c>
      <c r="J13" s="54">
        <v>455697</v>
      </c>
      <c r="K13" s="85"/>
      <c r="L13" s="8">
        <v>719370</v>
      </c>
      <c r="M13" s="54">
        <v>0</v>
      </c>
      <c r="N13" s="54">
        <f>L13+M13</f>
        <v>719370</v>
      </c>
      <c r="O13" s="54">
        <f t="shared" si="1"/>
        <v>263673</v>
      </c>
      <c r="P13" s="33"/>
      <c r="Q13" s="33">
        <v>388926.046</v>
      </c>
      <c r="R13" s="33">
        <v>800000</v>
      </c>
      <c r="S13" s="33">
        <v>800000</v>
      </c>
      <c r="T13" s="96">
        <f t="shared" si="2"/>
        <v>80630</v>
      </c>
      <c r="U13" s="97">
        <f t="shared" si="0"/>
        <v>0.11208418477278737</v>
      </c>
      <c r="V13" s="21" t="s">
        <v>104</v>
      </c>
      <c r="W13" s="21"/>
      <c r="X13" s="19">
        <v>0</v>
      </c>
      <c r="Y13" s="19">
        <v>0</v>
      </c>
      <c r="Z13" s="53">
        <v>800000</v>
      </c>
      <c r="AA13" s="104"/>
      <c r="AB13" s="53"/>
      <c r="AC13" s="53">
        <v>419697</v>
      </c>
      <c r="AD13" s="53">
        <f t="shared" si="3"/>
        <v>-380303</v>
      </c>
      <c r="AE13" s="53">
        <f t="shared" si="4"/>
        <v>-36000</v>
      </c>
      <c r="AF13" s="99">
        <v>0</v>
      </c>
      <c r="AG13" s="99">
        <v>-263673</v>
      </c>
      <c r="AH13" s="100">
        <v>0</v>
      </c>
      <c r="AI13" s="100"/>
      <c r="AJ13" s="100"/>
      <c r="AK13" s="27">
        <f t="shared" si="5"/>
        <v>80630</v>
      </c>
      <c r="AL13" s="87" t="s">
        <v>41</v>
      </c>
      <c r="AM13" s="24" t="s">
        <v>143</v>
      </c>
    </row>
    <row r="14" spans="1:39" s="6" customFormat="1" ht="15.75">
      <c r="A14" s="1">
        <v>117</v>
      </c>
      <c r="B14" s="2" t="s">
        <v>15</v>
      </c>
      <c r="C14" s="7">
        <v>418816</v>
      </c>
      <c r="D14" s="18"/>
      <c r="E14" s="3">
        <v>476028</v>
      </c>
      <c r="F14" s="3">
        <v>458823</v>
      </c>
      <c r="G14" s="3">
        <v>0</v>
      </c>
      <c r="H14" s="101" t="e">
        <f>#REF!-#REF!</f>
        <v>#REF!</v>
      </c>
      <c r="I14" s="5" t="e">
        <f>#REF!-F14-G14-#REF!</f>
        <v>#REF!</v>
      </c>
      <c r="J14" s="54">
        <v>497568</v>
      </c>
      <c r="K14" s="85"/>
      <c r="L14" s="8">
        <v>499696</v>
      </c>
      <c r="M14" s="54"/>
      <c r="N14" s="54">
        <v>497568</v>
      </c>
      <c r="O14" s="54">
        <f t="shared" si="1"/>
        <v>0</v>
      </c>
      <c r="P14" s="33"/>
      <c r="Q14" s="33">
        <v>148928.54</v>
      </c>
      <c r="R14" s="33">
        <v>497568</v>
      </c>
      <c r="S14" s="33">
        <v>548568</v>
      </c>
      <c r="T14" s="96">
        <f t="shared" si="2"/>
        <v>51000</v>
      </c>
      <c r="U14" s="97">
        <f t="shared" si="0"/>
        <v>0</v>
      </c>
      <c r="V14" s="21" t="s">
        <v>104</v>
      </c>
      <c r="W14" s="21"/>
      <c r="X14" s="19">
        <v>0</v>
      </c>
      <c r="Y14" s="19">
        <v>0</v>
      </c>
      <c r="Z14" s="53">
        <v>497568</v>
      </c>
      <c r="AA14" s="98"/>
      <c r="AB14" s="53"/>
      <c r="AC14" s="53">
        <v>477166</v>
      </c>
      <c r="AD14" s="53">
        <f t="shared" si="3"/>
        <v>-20402</v>
      </c>
      <c r="AE14" s="53">
        <f t="shared" si="4"/>
        <v>-20402</v>
      </c>
      <c r="AF14" s="99"/>
      <c r="AG14" s="99">
        <v>0</v>
      </c>
      <c r="AH14" s="100"/>
      <c r="AI14" s="100"/>
      <c r="AJ14" s="100"/>
      <c r="AK14" s="27">
        <f t="shared" si="5"/>
        <v>0</v>
      </c>
      <c r="AL14" s="87">
        <f t="shared" si="6"/>
        <v>-0.04100344073573858</v>
      </c>
      <c r="AM14" s="24"/>
    </row>
    <row r="15" spans="1:39" s="6" customFormat="1" ht="15.75">
      <c r="A15" s="1">
        <v>119</v>
      </c>
      <c r="B15" s="2" t="s">
        <v>16</v>
      </c>
      <c r="C15" s="7">
        <v>986210</v>
      </c>
      <c r="D15" s="18"/>
      <c r="E15" s="3">
        <v>1046230</v>
      </c>
      <c r="F15" s="3">
        <v>1127847</v>
      </c>
      <c r="G15" s="3">
        <v>0</v>
      </c>
      <c r="H15" s="101" t="e">
        <f>#REF!-#REF!</f>
        <v>#REF!</v>
      </c>
      <c r="I15" s="5" t="e">
        <f>#REF!-F15-G15-#REF!</f>
        <v>#REF!</v>
      </c>
      <c r="J15" s="54">
        <v>1137101</v>
      </c>
      <c r="K15" s="85"/>
      <c r="L15" s="8">
        <v>1060794</v>
      </c>
      <c r="M15" s="54"/>
      <c r="N15" s="54">
        <v>1105270</v>
      </c>
      <c r="O15" s="54">
        <f t="shared" si="1"/>
        <v>-31831</v>
      </c>
      <c r="P15" s="33"/>
      <c r="Q15" s="33">
        <v>428261.95</v>
      </c>
      <c r="R15" s="33">
        <v>1137101</v>
      </c>
      <c r="S15" s="33">
        <v>1137101</v>
      </c>
      <c r="T15" s="96">
        <f t="shared" si="2"/>
        <v>31831</v>
      </c>
      <c r="U15" s="97">
        <f t="shared" si="0"/>
        <v>0.02879929790910829</v>
      </c>
      <c r="V15" s="21" t="s">
        <v>104</v>
      </c>
      <c r="W15" s="21"/>
      <c r="X15" s="19">
        <v>0</v>
      </c>
      <c r="Y15" s="19">
        <v>0</v>
      </c>
      <c r="Z15" s="53">
        <v>1137101</v>
      </c>
      <c r="AA15" s="98"/>
      <c r="AB15" s="53"/>
      <c r="AC15" s="53">
        <v>1178183</v>
      </c>
      <c r="AD15" s="53">
        <f t="shared" si="3"/>
        <v>41082</v>
      </c>
      <c r="AE15" s="53">
        <f t="shared" si="4"/>
        <v>41082</v>
      </c>
      <c r="AF15" s="99"/>
      <c r="AG15" s="99">
        <v>31831</v>
      </c>
      <c r="AH15" s="100"/>
      <c r="AI15" s="100"/>
      <c r="AJ15" s="100"/>
      <c r="AK15" s="27">
        <f t="shared" si="5"/>
        <v>31831</v>
      </c>
      <c r="AL15" s="87">
        <f t="shared" si="6"/>
        <v>0.03612871679824403</v>
      </c>
      <c r="AM15" s="24"/>
    </row>
    <row r="16" spans="1:39" s="6" customFormat="1" ht="34.5" customHeight="1">
      <c r="A16" s="1">
        <v>121</v>
      </c>
      <c r="B16" s="2" t="s">
        <v>148</v>
      </c>
      <c r="C16" s="7"/>
      <c r="D16" s="18"/>
      <c r="E16" s="3"/>
      <c r="F16" s="3"/>
      <c r="G16" s="3"/>
      <c r="H16" s="101"/>
      <c r="I16" s="5"/>
      <c r="J16" s="54">
        <v>263673</v>
      </c>
      <c r="K16" s="85">
        <v>0</v>
      </c>
      <c r="L16" s="8"/>
      <c r="M16" s="54"/>
      <c r="N16" s="54">
        <v>0</v>
      </c>
      <c r="O16" s="54">
        <f t="shared" si="1"/>
        <v>-263673</v>
      </c>
      <c r="P16" s="33"/>
      <c r="Q16" s="33"/>
      <c r="R16" s="33"/>
      <c r="S16" s="33"/>
      <c r="T16" s="96"/>
      <c r="U16" s="97"/>
      <c r="V16" s="21"/>
      <c r="W16" s="21"/>
      <c r="X16" s="19"/>
      <c r="Y16" s="19"/>
      <c r="Z16" s="53">
        <v>0</v>
      </c>
      <c r="AA16" s="98"/>
      <c r="AB16" s="53"/>
      <c r="AC16" s="53">
        <v>271583</v>
      </c>
      <c r="AD16" s="53">
        <f t="shared" si="3"/>
        <v>271583</v>
      </c>
      <c r="AE16" s="53">
        <f t="shared" si="4"/>
        <v>7910</v>
      </c>
      <c r="AF16" s="99"/>
      <c r="AG16" s="99">
        <v>263673</v>
      </c>
      <c r="AH16" s="100"/>
      <c r="AI16" s="100"/>
      <c r="AJ16" s="100"/>
      <c r="AK16" s="27">
        <f t="shared" si="5"/>
        <v>0</v>
      </c>
      <c r="AL16" s="87">
        <f t="shared" si="6"/>
        <v>0.02999927941048197</v>
      </c>
      <c r="AM16" s="24" t="str">
        <f>AM13</f>
        <v>Object Code # 116 was split - Now 116 and 121</v>
      </c>
    </row>
    <row r="17" spans="1:39" s="6" customFormat="1" ht="15.75">
      <c r="A17" s="1">
        <v>122</v>
      </c>
      <c r="B17" s="2" t="s">
        <v>17</v>
      </c>
      <c r="C17" s="7">
        <v>1799280</v>
      </c>
      <c r="D17" s="18"/>
      <c r="E17" s="3">
        <v>1992985</v>
      </c>
      <c r="F17" s="3">
        <v>1983852</v>
      </c>
      <c r="G17" s="3">
        <v>0</v>
      </c>
      <c r="H17" s="101" t="e">
        <f>#REF!-#REF!</f>
        <v>#REF!</v>
      </c>
      <c r="I17" s="5" t="e">
        <f>#REF!-F17-G17-#REF!</f>
        <v>#REF!</v>
      </c>
      <c r="J17" s="54">
        <v>2131237</v>
      </c>
      <c r="K17" s="85"/>
      <c r="L17" s="8">
        <v>1971072</v>
      </c>
      <c r="M17" s="54"/>
      <c r="N17" s="54">
        <v>2050271</v>
      </c>
      <c r="O17" s="54">
        <f t="shared" si="1"/>
        <v>-80966</v>
      </c>
      <c r="P17" s="33"/>
      <c r="Q17" s="33">
        <v>987153.48</v>
      </c>
      <c r="R17" s="33">
        <v>2171236.83</v>
      </c>
      <c r="S17" s="33">
        <v>2171236.83</v>
      </c>
      <c r="T17" s="96">
        <f t="shared" si="2"/>
        <v>120965.83000000007</v>
      </c>
      <c r="U17" s="97">
        <f t="shared" si="0"/>
        <v>0.05899992244927632</v>
      </c>
      <c r="V17" s="21" t="s">
        <v>104</v>
      </c>
      <c r="W17" s="21"/>
      <c r="X17" s="19">
        <v>-40000</v>
      </c>
      <c r="Y17" s="19">
        <v>0</v>
      </c>
      <c r="Z17" s="53">
        <v>2131237</v>
      </c>
      <c r="AA17" s="98"/>
      <c r="AB17" s="53"/>
      <c r="AC17" s="53">
        <v>2197143</v>
      </c>
      <c r="AD17" s="53" t="s">
        <v>41</v>
      </c>
      <c r="AE17" s="53">
        <f t="shared" si="4"/>
        <v>65906</v>
      </c>
      <c r="AF17" s="99"/>
      <c r="AG17" s="99">
        <v>80966</v>
      </c>
      <c r="AH17" s="100"/>
      <c r="AI17" s="100"/>
      <c r="AJ17" s="100"/>
      <c r="AK17" s="27">
        <f t="shared" si="5"/>
        <v>80966</v>
      </c>
      <c r="AL17" s="87">
        <f t="shared" si="6"/>
        <v>0.030923824989900206</v>
      </c>
      <c r="AM17" s="24" t="s">
        <v>118</v>
      </c>
    </row>
    <row r="18" spans="1:39" s="6" customFormat="1" ht="34.5" customHeight="1">
      <c r="A18" s="1">
        <v>123</v>
      </c>
      <c r="B18" s="2" t="s">
        <v>18</v>
      </c>
      <c r="C18" s="7">
        <v>2222785</v>
      </c>
      <c r="D18" s="18"/>
      <c r="E18" s="3">
        <v>2385062</v>
      </c>
      <c r="F18" s="3">
        <v>2469166</v>
      </c>
      <c r="G18" s="3">
        <v>0</v>
      </c>
      <c r="H18" s="101" t="e">
        <f>#REF!-#REF!</f>
        <v>#REF!</v>
      </c>
      <c r="I18" s="5" t="e">
        <f>#REF!-F18-G18-#REF!</f>
        <v>#REF!</v>
      </c>
      <c r="J18" s="54">
        <v>2360578</v>
      </c>
      <c r="K18" s="85"/>
      <c r="L18" s="8">
        <v>2201410</v>
      </c>
      <c r="M18" s="54">
        <v>-54000</v>
      </c>
      <c r="N18" s="54">
        <v>2319451</v>
      </c>
      <c r="O18" s="54">
        <f t="shared" si="1"/>
        <v>-41127</v>
      </c>
      <c r="P18" s="33"/>
      <c r="Q18" s="33">
        <v>1092031.16</v>
      </c>
      <c r="R18" s="33">
        <f>2964874.2-242009-272287</f>
        <v>2450578.2</v>
      </c>
      <c r="S18" s="33">
        <f>2964874.2-242009-272287</f>
        <v>2450578.2</v>
      </c>
      <c r="T18" s="96">
        <f t="shared" si="2"/>
        <v>131127.2000000002</v>
      </c>
      <c r="U18" s="97">
        <f t="shared" si="0"/>
        <v>0.05653372285079539</v>
      </c>
      <c r="V18" s="21" t="s">
        <v>104</v>
      </c>
      <c r="W18" s="21"/>
      <c r="X18" s="19">
        <v>-60000</v>
      </c>
      <c r="Y18" s="19">
        <v>0</v>
      </c>
      <c r="Z18" s="53">
        <v>2390578</v>
      </c>
      <c r="AA18" s="98"/>
      <c r="AB18" s="53"/>
      <c r="AC18" s="53">
        <v>3308808</v>
      </c>
      <c r="AD18" s="53">
        <f t="shared" si="3"/>
        <v>918230</v>
      </c>
      <c r="AE18" s="53">
        <f t="shared" si="4"/>
        <v>948230</v>
      </c>
      <c r="AF18" s="99"/>
      <c r="AG18" s="99">
        <v>71127</v>
      </c>
      <c r="AH18" s="100"/>
      <c r="AI18" s="100"/>
      <c r="AJ18" s="100"/>
      <c r="AK18" s="27">
        <f t="shared" si="5"/>
        <v>71127</v>
      </c>
      <c r="AL18" s="87">
        <f t="shared" si="6"/>
        <v>0.4016939918952054</v>
      </c>
      <c r="AM18" s="24" t="s">
        <v>117</v>
      </c>
    </row>
    <row r="19" spans="1:39" s="14" customFormat="1" ht="15.75">
      <c r="A19" s="102">
        <v>124</v>
      </c>
      <c r="B19" s="13" t="s">
        <v>19</v>
      </c>
      <c r="C19" s="7">
        <v>2193215</v>
      </c>
      <c r="D19" s="18"/>
      <c r="E19" s="3">
        <v>2599823</v>
      </c>
      <c r="F19" s="3">
        <v>2772470</v>
      </c>
      <c r="G19" s="3">
        <v>0</v>
      </c>
      <c r="H19" s="103" t="e">
        <f>#REF!-#REF!</f>
        <v>#REF!</v>
      </c>
      <c r="I19" s="5" t="e">
        <f>#REF!-F19-G19-#REF!</f>
        <v>#REF!</v>
      </c>
      <c r="J19" s="54">
        <v>2675628</v>
      </c>
      <c r="K19" s="85"/>
      <c r="L19" s="8">
        <v>2543076</v>
      </c>
      <c r="M19" s="54"/>
      <c r="N19" s="54">
        <f>L19+M19</f>
        <v>2543076</v>
      </c>
      <c r="O19" s="54">
        <f t="shared" si="1"/>
        <v>-132552</v>
      </c>
      <c r="P19" s="33"/>
      <c r="Q19" s="33">
        <v>1297369.68</v>
      </c>
      <c r="R19" s="33">
        <f>2576978.4+98650</f>
        <v>2675628.4</v>
      </c>
      <c r="S19" s="33">
        <f>2576978.4+98650</f>
        <v>2675628.4</v>
      </c>
      <c r="T19" s="96">
        <f t="shared" si="2"/>
        <v>132552.3999999999</v>
      </c>
      <c r="U19" s="97">
        <f t="shared" si="0"/>
        <v>0.05212286223455376</v>
      </c>
      <c r="V19" s="21" t="s">
        <v>104</v>
      </c>
      <c r="W19" s="21"/>
      <c r="X19" s="19">
        <v>0</v>
      </c>
      <c r="Y19" s="19">
        <v>0</v>
      </c>
      <c r="Z19" s="53">
        <v>2675628</v>
      </c>
      <c r="AA19" s="104"/>
      <c r="AB19" s="53"/>
      <c r="AC19" s="53">
        <v>2923947</v>
      </c>
      <c r="AD19" s="53">
        <f t="shared" si="3"/>
        <v>248319</v>
      </c>
      <c r="AE19" s="53">
        <f t="shared" si="4"/>
        <v>248319</v>
      </c>
      <c r="AF19" s="99"/>
      <c r="AG19" s="99">
        <v>132552</v>
      </c>
      <c r="AH19" s="100"/>
      <c r="AI19" s="100"/>
      <c r="AJ19" s="100"/>
      <c r="AK19" s="27">
        <f t="shared" si="5"/>
        <v>132552</v>
      </c>
      <c r="AL19" s="87">
        <f t="shared" si="6"/>
        <v>0.09280774457435781</v>
      </c>
      <c r="AM19" s="24"/>
    </row>
    <row r="20" spans="1:39" s="14" customFormat="1" ht="15.75">
      <c r="A20" s="12">
        <v>125</v>
      </c>
      <c r="B20" s="13" t="s">
        <v>20</v>
      </c>
      <c r="C20" s="7">
        <v>596403</v>
      </c>
      <c r="D20" s="18"/>
      <c r="E20" s="3">
        <v>618493</v>
      </c>
      <c r="F20" s="3">
        <v>707817</v>
      </c>
      <c r="G20" s="3">
        <v>0</v>
      </c>
      <c r="H20" s="103" t="e">
        <f>#REF!-#REF!</f>
        <v>#REF!</v>
      </c>
      <c r="I20" s="5" t="e">
        <f>#REF!-F20-G20-#REF!</f>
        <v>#REF!</v>
      </c>
      <c r="J20" s="54">
        <v>661745</v>
      </c>
      <c r="K20" s="85"/>
      <c r="L20" s="8">
        <v>636247</v>
      </c>
      <c r="M20" s="54"/>
      <c r="N20" s="54">
        <f>L20+M20</f>
        <v>636247</v>
      </c>
      <c r="O20" s="54">
        <f t="shared" si="1"/>
        <v>-25498</v>
      </c>
      <c r="P20" s="33"/>
      <c r="Q20" s="33">
        <v>339773.47</v>
      </c>
      <c r="R20" s="33">
        <v>661745.45</v>
      </c>
      <c r="S20" s="33">
        <v>661745.45</v>
      </c>
      <c r="T20" s="96">
        <f t="shared" si="2"/>
        <v>25498.449999999953</v>
      </c>
      <c r="U20" s="97">
        <f t="shared" si="0"/>
        <v>0.040076338277429846</v>
      </c>
      <c r="V20" s="21" t="s">
        <v>104</v>
      </c>
      <c r="W20" s="21"/>
      <c r="X20" s="19">
        <v>0</v>
      </c>
      <c r="Y20" s="19">
        <v>0</v>
      </c>
      <c r="Z20" s="53">
        <v>661745</v>
      </c>
      <c r="AA20" s="104"/>
      <c r="AB20" s="53"/>
      <c r="AC20" s="53">
        <v>705405</v>
      </c>
      <c r="AD20" s="53">
        <f t="shared" si="3"/>
        <v>43660</v>
      </c>
      <c r="AE20" s="53">
        <f t="shared" si="4"/>
        <v>43660</v>
      </c>
      <c r="AF20" s="99"/>
      <c r="AG20" s="99">
        <v>25498</v>
      </c>
      <c r="AH20" s="100"/>
      <c r="AI20" s="100"/>
      <c r="AJ20" s="100"/>
      <c r="AK20" s="27">
        <f t="shared" si="5"/>
        <v>25498</v>
      </c>
      <c r="AL20" s="87">
        <f t="shared" si="6"/>
        <v>0.06597707576181167</v>
      </c>
      <c r="AM20" s="24"/>
    </row>
    <row r="21" spans="1:39" s="6" customFormat="1" ht="15.75">
      <c r="A21" s="1">
        <v>128</v>
      </c>
      <c r="B21" s="2" t="s">
        <v>21</v>
      </c>
      <c r="C21" s="7">
        <v>164654</v>
      </c>
      <c r="D21" s="18"/>
      <c r="E21" s="3">
        <v>222367</v>
      </c>
      <c r="F21" s="3">
        <v>202984</v>
      </c>
      <c r="G21" s="3">
        <v>0</v>
      </c>
      <c r="H21" s="103" t="e">
        <f>#REF!-#REF!</f>
        <v>#REF!</v>
      </c>
      <c r="I21" s="5" t="e">
        <f>#REF!-F21-G21-#REF!</f>
        <v>#REF!</v>
      </c>
      <c r="J21" s="54">
        <v>186722</v>
      </c>
      <c r="K21" s="85"/>
      <c r="L21" s="8">
        <v>167947</v>
      </c>
      <c r="M21" s="54">
        <v>0</v>
      </c>
      <c r="N21" s="54">
        <v>178000</v>
      </c>
      <c r="O21" s="54">
        <f t="shared" si="1"/>
        <v>-8722</v>
      </c>
      <c r="P21" s="33"/>
      <c r="Q21" s="33">
        <v>85634.12</v>
      </c>
      <c r="R21" s="33">
        <v>186722</v>
      </c>
      <c r="S21" s="33">
        <v>186722</v>
      </c>
      <c r="T21" s="96">
        <f t="shared" si="2"/>
        <v>8722</v>
      </c>
      <c r="U21" s="97">
        <f t="shared" si="0"/>
        <v>0.04899999999999993</v>
      </c>
      <c r="V21" s="21" t="s">
        <v>104</v>
      </c>
      <c r="W21" s="21"/>
      <c r="X21" s="19">
        <v>0</v>
      </c>
      <c r="Y21" s="19">
        <v>0</v>
      </c>
      <c r="Z21" s="53">
        <v>186722</v>
      </c>
      <c r="AA21" s="98"/>
      <c r="AB21" s="53"/>
      <c r="AC21" s="53">
        <v>191390</v>
      </c>
      <c r="AD21" s="53">
        <f t="shared" si="3"/>
        <v>4668</v>
      </c>
      <c r="AE21" s="53">
        <f t="shared" si="4"/>
        <v>4668</v>
      </c>
      <c r="AF21" s="99"/>
      <c r="AG21" s="99">
        <v>8722</v>
      </c>
      <c r="AH21" s="100"/>
      <c r="AI21" s="100"/>
      <c r="AJ21" s="100"/>
      <c r="AK21" s="27">
        <f t="shared" si="5"/>
        <v>8722</v>
      </c>
      <c r="AL21" s="87">
        <f t="shared" si="6"/>
        <v>0.024999732222234172</v>
      </c>
      <c r="AM21" s="24"/>
    </row>
    <row r="22" spans="1:39" s="6" customFormat="1" ht="15.75">
      <c r="A22" s="1">
        <v>133</v>
      </c>
      <c r="B22" s="2" t="s">
        <v>83</v>
      </c>
      <c r="C22" s="7"/>
      <c r="D22" s="18"/>
      <c r="E22" s="3">
        <v>77240</v>
      </c>
      <c r="F22" s="3">
        <v>210172</v>
      </c>
      <c r="G22" s="3"/>
      <c r="H22" s="103" t="e">
        <f>#REF!-#REF!</f>
        <v>#REF!</v>
      </c>
      <c r="I22" s="5" t="e">
        <f>#REF!-F22-G22-#REF!</f>
        <v>#REF!</v>
      </c>
      <c r="J22" s="54">
        <v>200000</v>
      </c>
      <c r="K22" s="85"/>
      <c r="L22" s="8">
        <v>71000</v>
      </c>
      <c r="M22" s="54">
        <f>200000-71000</f>
        <v>129000</v>
      </c>
      <c r="N22" s="54">
        <v>200000</v>
      </c>
      <c r="O22" s="54">
        <f t="shared" si="1"/>
        <v>0</v>
      </c>
      <c r="P22" s="33"/>
      <c r="Q22" s="33">
        <v>74174.8</v>
      </c>
      <c r="R22" s="33">
        <v>200000</v>
      </c>
      <c r="S22" s="33">
        <v>200000</v>
      </c>
      <c r="T22" s="96">
        <f t="shared" si="2"/>
        <v>0</v>
      </c>
      <c r="U22" s="97">
        <f t="shared" si="0"/>
        <v>0</v>
      </c>
      <c r="V22" s="21" t="s">
        <v>104</v>
      </c>
      <c r="W22" s="21"/>
      <c r="X22" s="19">
        <v>0</v>
      </c>
      <c r="Y22" s="19">
        <v>0</v>
      </c>
      <c r="Z22" s="53">
        <v>200000</v>
      </c>
      <c r="AA22" s="98"/>
      <c r="AB22" s="53"/>
      <c r="AC22" s="53">
        <f>Z22</f>
        <v>200000</v>
      </c>
      <c r="AD22" s="53">
        <f t="shared" si="3"/>
        <v>0</v>
      </c>
      <c r="AE22" s="53">
        <f t="shared" si="4"/>
        <v>0</v>
      </c>
      <c r="AF22" s="99"/>
      <c r="AG22" s="99">
        <v>0</v>
      </c>
      <c r="AH22" s="100"/>
      <c r="AI22" s="100"/>
      <c r="AJ22" s="100"/>
      <c r="AK22" s="27">
        <f t="shared" si="5"/>
        <v>0</v>
      </c>
      <c r="AL22" s="87">
        <f t="shared" si="6"/>
        <v>0</v>
      </c>
      <c r="AM22" s="24"/>
    </row>
    <row r="23" spans="1:39" s="6" customFormat="1" ht="15.75">
      <c r="A23" s="1">
        <v>140</v>
      </c>
      <c r="B23" s="2" t="s">
        <v>22</v>
      </c>
      <c r="C23" s="7">
        <v>324945</v>
      </c>
      <c r="D23" s="18"/>
      <c r="E23" s="3">
        <v>378733</v>
      </c>
      <c r="F23" s="3">
        <v>394448</v>
      </c>
      <c r="G23" s="3">
        <v>0</v>
      </c>
      <c r="H23" s="101" t="e">
        <f>#REF!-#REF!</f>
        <v>#REF!</v>
      </c>
      <c r="I23" s="5" t="e">
        <f>#REF!-F23-G23-#REF!</f>
        <v>#REF!</v>
      </c>
      <c r="J23" s="54">
        <v>361454</v>
      </c>
      <c r="K23" s="85"/>
      <c r="L23" s="8">
        <v>348003</v>
      </c>
      <c r="M23" s="54"/>
      <c r="N23" s="54">
        <v>350069</v>
      </c>
      <c r="O23" s="54">
        <f t="shared" si="1"/>
        <v>-11385</v>
      </c>
      <c r="P23" s="33"/>
      <c r="Q23" s="33">
        <v>168541.14</v>
      </c>
      <c r="R23" s="33">
        <f>361879.4+34574.4</f>
        <v>396453.80000000005</v>
      </c>
      <c r="S23" s="33">
        <f>361879.4+34574.4</f>
        <v>396453.80000000005</v>
      </c>
      <c r="T23" s="96">
        <f t="shared" si="2"/>
        <v>46384.80000000005</v>
      </c>
      <c r="U23" s="97">
        <f t="shared" si="0"/>
        <v>0.13250187820115467</v>
      </c>
      <c r="V23" s="21" t="s">
        <v>104</v>
      </c>
      <c r="W23" s="21"/>
      <c r="X23" s="19">
        <v>0</v>
      </c>
      <c r="Y23" s="19">
        <v>0</v>
      </c>
      <c r="Z23" s="53">
        <v>396454</v>
      </c>
      <c r="AA23" s="98"/>
      <c r="AB23" s="53"/>
      <c r="AC23" s="53">
        <v>378362</v>
      </c>
      <c r="AD23" s="53">
        <f t="shared" si="3"/>
        <v>-18092</v>
      </c>
      <c r="AE23" s="53">
        <f t="shared" si="4"/>
        <v>16908</v>
      </c>
      <c r="AF23" s="99">
        <v>34574</v>
      </c>
      <c r="AG23" s="99">
        <f>Z23-N23-AF23</f>
        <v>11811</v>
      </c>
      <c r="AH23" s="100"/>
      <c r="AI23" s="100"/>
      <c r="AJ23" s="100"/>
      <c r="AK23" s="27">
        <f t="shared" si="5"/>
        <v>46385</v>
      </c>
      <c r="AL23" s="87">
        <f t="shared" si="6"/>
        <v>0.0467777365861215</v>
      </c>
      <c r="AM23" s="24"/>
    </row>
    <row r="24" spans="1:39" ht="15.75">
      <c r="A24" s="105"/>
      <c r="C24" s="15">
        <f>SUM(C8:C23)</f>
        <v>52573610</v>
      </c>
      <c r="D24" s="15">
        <f>SUM(D8:D23)</f>
        <v>0</v>
      </c>
      <c r="E24" s="15">
        <f>SUM(E8:E23)</f>
        <v>54392132.62</v>
      </c>
      <c r="F24" s="15">
        <f>SUM(F8:F23)</f>
        <v>54887289</v>
      </c>
      <c r="G24" s="15">
        <f>SUM(G8:G23)</f>
        <v>0</v>
      </c>
      <c r="H24" s="101" t="e">
        <f>#REF!-#REF!</f>
        <v>#REF!</v>
      </c>
      <c r="I24" s="5" t="e">
        <f>#REF!-F24-G24-#REF!</f>
        <v>#REF!</v>
      </c>
      <c r="J24" s="107">
        <f>SUM(J8:J23)</f>
        <v>55614608</v>
      </c>
      <c r="K24" s="107">
        <f aca="true" t="shared" si="7" ref="K24:AM24">SUM(K8:K23)</f>
        <v>0</v>
      </c>
      <c r="L24" s="107">
        <f t="shared" si="7"/>
        <v>53158762</v>
      </c>
      <c r="M24" s="107">
        <f t="shared" si="7"/>
        <v>170000</v>
      </c>
      <c r="N24" s="107">
        <f t="shared" si="7"/>
        <v>54203466</v>
      </c>
      <c r="O24" s="18">
        <f t="shared" si="1"/>
        <v>-1411142</v>
      </c>
      <c r="P24" s="15">
        <f t="shared" si="7"/>
        <v>0</v>
      </c>
      <c r="Q24" s="15">
        <f t="shared" si="7"/>
        <v>21585623.166</v>
      </c>
      <c r="R24" s="15">
        <f t="shared" si="7"/>
        <v>56974706.58</v>
      </c>
      <c r="S24" s="15">
        <f t="shared" si="7"/>
        <v>56893941.58</v>
      </c>
      <c r="T24" s="15">
        <f t="shared" si="7"/>
        <v>2690475.58</v>
      </c>
      <c r="U24" s="15">
        <f t="shared" si="7"/>
        <v>0.716952524947793</v>
      </c>
      <c r="V24" s="15">
        <f t="shared" si="7"/>
        <v>0</v>
      </c>
      <c r="W24" s="15">
        <f t="shared" si="7"/>
        <v>0</v>
      </c>
      <c r="X24" s="15">
        <f t="shared" si="7"/>
        <v>-900000</v>
      </c>
      <c r="Y24" s="15">
        <f t="shared" si="7"/>
        <v>0</v>
      </c>
      <c r="Z24" s="15">
        <f t="shared" si="7"/>
        <v>56074705</v>
      </c>
      <c r="AA24" s="81"/>
      <c r="AB24" s="107">
        <f t="shared" si="7"/>
        <v>0</v>
      </c>
      <c r="AC24" s="28">
        <f>SUM(AC8:AC23)</f>
        <v>57097797</v>
      </c>
      <c r="AD24" s="27">
        <f>SUM(AD8:AD23)</f>
        <v>957186</v>
      </c>
      <c r="AE24" s="158">
        <f t="shared" si="4"/>
        <v>1483189</v>
      </c>
      <c r="AF24" s="108">
        <f t="shared" si="7"/>
        <v>34574</v>
      </c>
      <c r="AG24" s="108">
        <f t="shared" si="7"/>
        <v>1499285</v>
      </c>
      <c r="AH24" s="108">
        <f>SUM(AH8:AH23)</f>
        <v>0</v>
      </c>
      <c r="AI24" s="108">
        <f>SUM(AI8:AI23)</f>
        <v>0</v>
      </c>
      <c r="AJ24" s="108">
        <f>SUM(AJ8:AJ23)</f>
        <v>0</v>
      </c>
      <c r="AK24" s="109">
        <f>SUM(AK8:AK23)</f>
        <v>1871239</v>
      </c>
      <c r="AL24" s="159">
        <f t="shared" si="6"/>
        <v>0.026669054288757987</v>
      </c>
      <c r="AM24" s="107">
        <f t="shared" si="7"/>
        <v>0</v>
      </c>
    </row>
    <row r="25" spans="1:39" s="6" customFormat="1" ht="15.75">
      <c r="A25" s="95"/>
      <c r="B25" s="92"/>
      <c r="C25" s="93"/>
      <c r="D25" s="54"/>
      <c r="E25" s="33" t="s">
        <v>41</v>
      </c>
      <c r="F25" s="33" t="s">
        <v>41</v>
      </c>
      <c r="G25" s="33"/>
      <c r="H25" s="4" t="s">
        <v>41</v>
      </c>
      <c r="I25" s="5" t="s">
        <v>41</v>
      </c>
      <c r="J25" s="54" t="s">
        <v>41</v>
      </c>
      <c r="K25" s="85"/>
      <c r="L25" s="8"/>
      <c r="M25" s="54"/>
      <c r="N25" s="54" t="s">
        <v>41</v>
      </c>
      <c r="O25" s="54" t="s">
        <v>41</v>
      </c>
      <c r="P25" s="33"/>
      <c r="Q25" s="33" t="s">
        <v>41</v>
      </c>
      <c r="R25" s="33" t="s">
        <v>41</v>
      </c>
      <c r="S25" s="33" t="s">
        <v>41</v>
      </c>
      <c r="T25" s="96" t="s">
        <v>41</v>
      </c>
      <c r="U25" s="97" t="s">
        <v>41</v>
      </c>
      <c r="V25" s="21"/>
      <c r="W25" s="21"/>
      <c r="X25" s="19" t="str">
        <f>R25</f>
        <v> </v>
      </c>
      <c r="Y25" s="19" t="str">
        <f>S25</f>
        <v> </v>
      </c>
      <c r="Z25" s="53" t="s">
        <v>41</v>
      </c>
      <c r="AA25" s="98"/>
      <c r="AB25" s="53"/>
      <c r="AC25" s="53" t="str">
        <f>Z25</f>
        <v> </v>
      </c>
      <c r="AD25" s="53" t="s">
        <v>41</v>
      </c>
      <c r="AE25" s="53" t="s">
        <v>41</v>
      </c>
      <c r="AF25" s="99"/>
      <c r="AG25" s="99"/>
      <c r="AH25" s="100"/>
      <c r="AI25" s="100"/>
      <c r="AJ25" s="100"/>
      <c r="AK25" s="27" t="s">
        <v>41</v>
      </c>
      <c r="AL25" s="87" t="s">
        <v>41</v>
      </c>
      <c r="AM25" s="24"/>
    </row>
    <row r="26" spans="1:39" s="6" customFormat="1" ht="15.75">
      <c r="A26" s="95"/>
      <c r="B26" s="92"/>
      <c r="C26" s="54"/>
      <c r="D26" s="54"/>
      <c r="E26" s="33"/>
      <c r="F26" s="33"/>
      <c r="G26" s="33"/>
      <c r="H26" s="4"/>
      <c r="I26" s="5"/>
      <c r="J26" s="54"/>
      <c r="K26" s="85"/>
      <c r="L26" s="8"/>
      <c r="M26" s="54"/>
      <c r="N26" s="54"/>
      <c r="O26" s="54"/>
      <c r="P26" s="33"/>
      <c r="Q26" s="33"/>
      <c r="R26" s="33"/>
      <c r="S26" s="33"/>
      <c r="T26" s="96"/>
      <c r="U26" s="97"/>
      <c r="V26" s="21"/>
      <c r="W26" s="21"/>
      <c r="X26" s="19"/>
      <c r="Y26" s="19"/>
      <c r="Z26" s="53"/>
      <c r="AA26" s="98"/>
      <c r="AB26" s="53"/>
      <c r="AC26" s="53"/>
      <c r="AD26" s="53"/>
      <c r="AE26" s="53"/>
      <c r="AF26" s="99"/>
      <c r="AG26" s="99"/>
      <c r="AH26" s="100"/>
      <c r="AI26" s="100"/>
      <c r="AJ26" s="100"/>
      <c r="AK26" s="27"/>
      <c r="AL26" s="87"/>
      <c r="AM26" s="24"/>
    </row>
    <row r="27" spans="1:39" s="6" customFormat="1" ht="15.75">
      <c r="A27" s="210" t="s">
        <v>125</v>
      </c>
      <c r="B27" s="211"/>
      <c r="C27" s="18"/>
      <c r="D27" s="18"/>
      <c r="E27" s="3"/>
      <c r="F27" s="3"/>
      <c r="G27" s="3"/>
      <c r="H27" s="101" t="s">
        <v>41</v>
      </c>
      <c r="I27" s="5" t="s">
        <v>41</v>
      </c>
      <c r="J27" s="54" t="s">
        <v>41</v>
      </c>
      <c r="K27" s="85"/>
      <c r="L27" s="8"/>
      <c r="M27" s="54"/>
      <c r="N27" s="54" t="s">
        <v>41</v>
      </c>
      <c r="O27" s="54" t="s">
        <v>41</v>
      </c>
      <c r="P27" s="33"/>
      <c r="Q27" s="33"/>
      <c r="R27" s="33" t="s">
        <v>41</v>
      </c>
      <c r="S27" s="33" t="s">
        <v>41</v>
      </c>
      <c r="T27" s="96" t="s">
        <v>41</v>
      </c>
      <c r="U27" s="97" t="s">
        <v>41</v>
      </c>
      <c r="V27" s="21"/>
      <c r="W27" s="21"/>
      <c r="X27" s="19" t="str">
        <f>R27</f>
        <v> </v>
      </c>
      <c r="Y27" s="19" t="str">
        <f>S27</f>
        <v> </v>
      </c>
      <c r="Z27" s="53" t="s">
        <v>41</v>
      </c>
      <c r="AA27" s="98"/>
      <c r="AB27" s="53"/>
      <c r="AC27" s="53" t="str">
        <f>Z27</f>
        <v> </v>
      </c>
      <c r="AD27" s="53" t="s">
        <v>41</v>
      </c>
      <c r="AE27" s="53" t="s">
        <v>41</v>
      </c>
      <c r="AF27" s="99"/>
      <c r="AG27" s="99"/>
      <c r="AH27" s="100"/>
      <c r="AI27" s="100"/>
      <c r="AJ27" s="100"/>
      <c r="AK27" s="27"/>
      <c r="AL27" s="87" t="s">
        <v>41</v>
      </c>
      <c r="AM27" s="24"/>
    </row>
    <row r="28" spans="1:39" s="6" customFormat="1" ht="15.75">
      <c r="A28" s="1">
        <v>215</v>
      </c>
      <c r="B28" s="2" t="s">
        <v>23</v>
      </c>
      <c r="C28" s="7">
        <v>158000</v>
      </c>
      <c r="D28" s="18"/>
      <c r="E28" s="3">
        <v>193637</v>
      </c>
      <c r="F28" s="3">
        <v>203237</v>
      </c>
      <c r="G28" s="3">
        <v>149220</v>
      </c>
      <c r="H28" s="101" t="e">
        <f>#REF!-#REF!</f>
        <v>#REF!</v>
      </c>
      <c r="I28" s="5" t="e">
        <f>#REF!-F28-G28-#REF!</f>
        <v>#REF!</v>
      </c>
      <c r="J28" s="54">
        <v>205000</v>
      </c>
      <c r="K28" s="85"/>
      <c r="L28" s="8">
        <v>194220</v>
      </c>
      <c r="M28" s="54"/>
      <c r="N28" s="54">
        <f>L28+M28</f>
        <v>194220</v>
      </c>
      <c r="O28" s="54">
        <f t="shared" si="1"/>
        <v>-10780</v>
      </c>
      <c r="P28" s="33"/>
      <c r="Q28" s="33">
        <v>106763.68</v>
      </c>
      <c r="R28" s="33">
        <v>205000</v>
      </c>
      <c r="S28" s="33">
        <v>205000</v>
      </c>
      <c r="T28" s="96">
        <f>S28-N28</f>
        <v>10780</v>
      </c>
      <c r="U28" s="97">
        <f>R28/N28-1</f>
        <v>0.05550406755226023</v>
      </c>
      <c r="V28" s="21"/>
      <c r="W28" s="21"/>
      <c r="X28" s="19">
        <v>0</v>
      </c>
      <c r="Y28" s="19">
        <v>0</v>
      </c>
      <c r="Z28" s="53">
        <v>205000</v>
      </c>
      <c r="AA28" s="98"/>
      <c r="AB28" s="53"/>
      <c r="AC28" s="53">
        <v>215000</v>
      </c>
      <c r="AD28" s="53">
        <f t="shared" si="3"/>
        <v>10000</v>
      </c>
      <c r="AE28" s="53">
        <f t="shared" si="4"/>
        <v>10000</v>
      </c>
      <c r="AF28" s="99"/>
      <c r="AG28" s="99">
        <v>10780</v>
      </c>
      <c r="AH28" s="100"/>
      <c r="AI28" s="100"/>
      <c r="AJ28" s="100"/>
      <c r="AK28" s="27">
        <f aca="true" t="shared" si="8" ref="AK28:AK36">Z28-N28</f>
        <v>10780</v>
      </c>
      <c r="AL28" s="87">
        <f t="shared" si="6"/>
        <v>0.04878048780487809</v>
      </c>
      <c r="AM28" s="24"/>
    </row>
    <row r="29" spans="1:39" s="6" customFormat="1" ht="15.75">
      <c r="A29" s="1">
        <v>217</v>
      </c>
      <c r="B29" s="2" t="s">
        <v>24</v>
      </c>
      <c r="C29" s="7">
        <v>10000</v>
      </c>
      <c r="D29" s="18"/>
      <c r="E29" s="3">
        <v>11154</v>
      </c>
      <c r="F29" s="3">
        <v>20617</v>
      </c>
      <c r="G29" s="3">
        <v>0</v>
      </c>
      <c r="H29" s="101" t="e">
        <f>#REF!-#REF!</f>
        <v>#REF!</v>
      </c>
      <c r="I29" s="5" t="e">
        <f>#REF!-F29-G29-#REF!</f>
        <v>#REF!</v>
      </c>
      <c r="J29" s="54">
        <v>36000</v>
      </c>
      <c r="K29" s="85"/>
      <c r="L29" s="8">
        <v>36000</v>
      </c>
      <c r="M29" s="54"/>
      <c r="N29" s="54">
        <f>L29+M29</f>
        <v>36000</v>
      </c>
      <c r="O29" s="54">
        <f t="shared" si="1"/>
        <v>0</v>
      </c>
      <c r="P29" s="33"/>
      <c r="Q29" s="33">
        <v>27359.9</v>
      </c>
      <c r="R29" s="33">
        <v>36000</v>
      </c>
      <c r="S29" s="33">
        <v>36000</v>
      </c>
      <c r="T29" s="96">
        <f aca="true" t="shared" si="9" ref="T29:T54">S29-N29</f>
        <v>0</v>
      </c>
      <c r="U29" s="97">
        <f>R29/N29-1</f>
        <v>0</v>
      </c>
      <c r="V29" s="21"/>
      <c r="W29" s="21"/>
      <c r="X29" s="19">
        <v>0</v>
      </c>
      <c r="Y29" s="19">
        <v>0</v>
      </c>
      <c r="Z29" s="53">
        <v>36000</v>
      </c>
      <c r="AA29" s="98"/>
      <c r="AB29" s="53"/>
      <c r="AC29" s="53">
        <f>Z29</f>
        <v>36000</v>
      </c>
      <c r="AD29" s="53">
        <f t="shared" si="3"/>
        <v>0</v>
      </c>
      <c r="AE29" s="53">
        <f t="shared" si="4"/>
        <v>0</v>
      </c>
      <c r="AF29" s="99"/>
      <c r="AG29" s="99"/>
      <c r="AH29" s="100"/>
      <c r="AI29" s="100"/>
      <c r="AJ29" s="100"/>
      <c r="AK29" s="27">
        <f t="shared" si="8"/>
        <v>0</v>
      </c>
      <c r="AL29" s="87">
        <f t="shared" si="6"/>
        <v>0</v>
      </c>
      <c r="AM29" s="24"/>
    </row>
    <row r="30" spans="1:39" s="6" customFormat="1" ht="15.75">
      <c r="A30" s="1">
        <v>220</v>
      </c>
      <c r="B30" s="2" t="s">
        <v>25</v>
      </c>
      <c r="C30" s="7">
        <v>599219</v>
      </c>
      <c r="D30" s="18"/>
      <c r="E30" s="3">
        <v>658633</v>
      </c>
      <c r="F30" s="3">
        <v>690519</v>
      </c>
      <c r="G30" s="3">
        <v>0</v>
      </c>
      <c r="H30" s="101" t="e">
        <f>#REF!-#REF!</f>
        <v>#REF!</v>
      </c>
      <c r="I30" s="5" t="e">
        <f>#REF!-F30-G30-#REF!</f>
        <v>#REF!</v>
      </c>
      <c r="J30" s="54">
        <v>724354</v>
      </c>
      <c r="K30" s="85"/>
      <c r="L30" s="8">
        <v>637556</v>
      </c>
      <c r="M30" s="54"/>
      <c r="N30" s="54">
        <v>671800</v>
      </c>
      <c r="O30" s="54">
        <f t="shared" si="1"/>
        <v>-52554</v>
      </c>
      <c r="P30" s="33"/>
      <c r="Q30" s="33">
        <v>328066.59</v>
      </c>
      <c r="R30" s="33">
        <f>F30*1.049</f>
        <v>724354.431</v>
      </c>
      <c r="S30" s="33">
        <v>724354</v>
      </c>
      <c r="T30" s="96">
        <f t="shared" si="9"/>
        <v>52554</v>
      </c>
      <c r="U30" s="97">
        <f>R30/N30-1</f>
        <v>0.07822928103602256</v>
      </c>
      <c r="V30" s="21" t="s">
        <v>108</v>
      </c>
      <c r="W30" s="21"/>
      <c r="X30" s="19">
        <v>0</v>
      </c>
      <c r="Y30" s="19">
        <v>0</v>
      </c>
      <c r="Z30" s="53">
        <v>724354</v>
      </c>
      <c r="AA30" s="98"/>
      <c r="AB30" s="53"/>
      <c r="AC30" s="53">
        <v>742463</v>
      </c>
      <c r="AD30" s="53">
        <f t="shared" si="3"/>
        <v>18109</v>
      </c>
      <c r="AE30" s="53">
        <f t="shared" si="4"/>
        <v>18109</v>
      </c>
      <c r="AF30" s="99"/>
      <c r="AG30" s="99">
        <v>52554</v>
      </c>
      <c r="AH30" s="100"/>
      <c r="AI30" s="100"/>
      <c r="AJ30" s="100"/>
      <c r="AK30" s="27">
        <f t="shared" si="8"/>
        <v>52554</v>
      </c>
      <c r="AL30" s="87">
        <f t="shared" si="6"/>
        <v>0.025000207081068204</v>
      </c>
      <c r="AM30" s="24"/>
    </row>
    <row r="31" spans="1:39" s="6" customFormat="1" ht="15.75">
      <c r="A31" s="1">
        <v>226</v>
      </c>
      <c r="B31" s="2" t="s">
        <v>26</v>
      </c>
      <c r="C31" s="7">
        <v>699720</v>
      </c>
      <c r="D31" s="18"/>
      <c r="E31" s="3">
        <v>769888</v>
      </c>
      <c r="F31" s="3">
        <v>784817</v>
      </c>
      <c r="G31" s="3">
        <v>0</v>
      </c>
      <c r="H31" s="101" t="e">
        <f>#REF!-#REF!</f>
        <v>#REF!</v>
      </c>
      <c r="I31" s="5" t="e">
        <f>#REF!-F31-G31-#REF!</f>
        <v>#REF!</v>
      </c>
      <c r="J31" s="54">
        <v>823273</v>
      </c>
      <c r="K31" s="85"/>
      <c r="L31" s="8">
        <v>727988</v>
      </c>
      <c r="M31" s="54"/>
      <c r="N31" s="54">
        <v>785287</v>
      </c>
      <c r="O31" s="54">
        <f t="shared" si="1"/>
        <v>-37986</v>
      </c>
      <c r="P31" s="33"/>
      <c r="Q31" s="33">
        <v>317310.7</v>
      </c>
      <c r="R31" s="33">
        <f>F31*1.049</f>
        <v>823273.0329999999</v>
      </c>
      <c r="S31" s="33">
        <v>823273</v>
      </c>
      <c r="T31" s="96">
        <f t="shared" si="9"/>
        <v>37986</v>
      </c>
      <c r="U31" s="97">
        <f>R31/N31-1</f>
        <v>0.048372165845098625</v>
      </c>
      <c r="V31" s="21" t="s">
        <v>108</v>
      </c>
      <c r="W31" s="21"/>
      <c r="X31" s="19">
        <v>0</v>
      </c>
      <c r="Y31" s="19">
        <v>0</v>
      </c>
      <c r="Z31" s="53">
        <v>823273</v>
      </c>
      <c r="AA31" s="98"/>
      <c r="AB31" s="53"/>
      <c r="AC31" s="53">
        <v>843855</v>
      </c>
      <c r="AD31" s="53">
        <f t="shared" si="3"/>
        <v>20582</v>
      </c>
      <c r="AE31" s="53">
        <f t="shared" si="4"/>
        <v>20582</v>
      </c>
      <c r="AF31" s="99"/>
      <c r="AG31" s="99">
        <v>37986</v>
      </c>
      <c r="AH31" s="100"/>
      <c r="AI31" s="100"/>
      <c r="AJ31" s="100"/>
      <c r="AK31" s="27">
        <f t="shared" si="8"/>
        <v>37986</v>
      </c>
      <c r="AL31" s="87">
        <f t="shared" si="6"/>
        <v>0.0250002125661839</v>
      </c>
      <c r="AM31" s="24"/>
    </row>
    <row r="32" spans="1:39" s="6" customFormat="1" ht="15" hidden="1">
      <c r="A32" s="1">
        <v>235</v>
      </c>
      <c r="B32" s="2" t="s">
        <v>79</v>
      </c>
      <c r="C32" s="7"/>
      <c r="D32" s="18"/>
      <c r="E32" s="3">
        <v>308286</v>
      </c>
      <c r="F32" s="3">
        <v>475836</v>
      </c>
      <c r="G32" s="3">
        <v>10782</v>
      </c>
      <c r="H32" s="101" t="e">
        <f>#REF!-#REF!</f>
        <v>#REF!</v>
      </c>
      <c r="I32" s="5"/>
      <c r="J32" s="54">
        <v>0</v>
      </c>
      <c r="K32" s="85"/>
      <c r="L32" s="8">
        <v>410000</v>
      </c>
      <c r="M32" s="54"/>
      <c r="N32" s="54">
        <v>0</v>
      </c>
      <c r="O32" s="54">
        <f t="shared" si="1"/>
        <v>0</v>
      </c>
      <c r="P32" s="33"/>
      <c r="Q32" s="33">
        <v>0</v>
      </c>
      <c r="R32" s="33">
        <v>0</v>
      </c>
      <c r="S32" s="33">
        <v>0</v>
      </c>
      <c r="T32" s="96">
        <f t="shared" si="9"/>
        <v>0</v>
      </c>
      <c r="U32" s="97" t="s">
        <v>41</v>
      </c>
      <c r="V32" s="21" t="s">
        <v>106</v>
      </c>
      <c r="W32" s="21"/>
      <c r="X32" s="19">
        <v>0</v>
      </c>
      <c r="Y32" s="19">
        <v>0</v>
      </c>
      <c r="Z32" s="53">
        <v>0</v>
      </c>
      <c r="AA32" s="98"/>
      <c r="AB32" s="53"/>
      <c r="AC32" s="53">
        <f>Z32</f>
        <v>0</v>
      </c>
      <c r="AD32" s="53">
        <f t="shared" si="3"/>
        <v>0</v>
      </c>
      <c r="AE32" s="53">
        <f t="shared" si="4"/>
        <v>0</v>
      </c>
      <c r="AF32" s="99"/>
      <c r="AG32" s="99"/>
      <c r="AH32" s="100"/>
      <c r="AI32" s="100"/>
      <c r="AJ32" s="100"/>
      <c r="AK32" s="27">
        <f t="shared" si="8"/>
        <v>0</v>
      </c>
      <c r="AL32" s="87" t="s">
        <v>41</v>
      </c>
      <c r="AM32" s="24"/>
    </row>
    <row r="33" spans="1:39" s="6" customFormat="1" ht="15.75">
      <c r="A33" s="1">
        <v>240</v>
      </c>
      <c r="B33" s="2" t="s">
        <v>27</v>
      </c>
      <c r="C33" s="7">
        <v>23250</v>
      </c>
      <c r="D33" s="18"/>
      <c r="E33" s="3">
        <v>34397</v>
      </c>
      <c r="F33" s="3">
        <v>20931</v>
      </c>
      <c r="G33" s="3">
        <v>0</v>
      </c>
      <c r="H33" s="101" t="e">
        <f>#REF!-#REF!</f>
        <v>#REF!</v>
      </c>
      <c r="I33" s="5" t="e">
        <f>#REF!-F33-G33-#REF!</f>
        <v>#REF!</v>
      </c>
      <c r="J33" s="54">
        <v>25000</v>
      </c>
      <c r="K33" s="85"/>
      <c r="L33" s="8">
        <v>28020</v>
      </c>
      <c r="M33" s="54">
        <v>0</v>
      </c>
      <c r="N33" s="54">
        <f>L33+M33</f>
        <v>28020</v>
      </c>
      <c r="O33" s="54">
        <f t="shared" si="1"/>
        <v>3020</v>
      </c>
      <c r="P33" s="33"/>
      <c r="Q33" s="33">
        <v>19425.15</v>
      </c>
      <c r="R33" s="33">
        <v>25000</v>
      </c>
      <c r="S33" s="33">
        <v>25000</v>
      </c>
      <c r="T33" s="96">
        <f t="shared" si="9"/>
        <v>-3020</v>
      </c>
      <c r="U33" s="97">
        <f>R33/N33-1</f>
        <v>-0.10778015703069233</v>
      </c>
      <c r="V33" s="21" t="s">
        <v>107</v>
      </c>
      <c r="W33" s="21"/>
      <c r="X33" s="19">
        <v>0</v>
      </c>
      <c r="Y33" s="19">
        <v>0</v>
      </c>
      <c r="Z33" s="53">
        <v>25000</v>
      </c>
      <c r="AA33" s="98"/>
      <c r="AB33" s="53"/>
      <c r="AC33" s="53">
        <f>Z33</f>
        <v>25000</v>
      </c>
      <c r="AD33" s="53">
        <f t="shared" si="3"/>
        <v>0</v>
      </c>
      <c r="AE33" s="53">
        <f t="shared" si="4"/>
        <v>0</v>
      </c>
      <c r="AF33" s="99">
        <v>-3020</v>
      </c>
      <c r="AG33" s="99"/>
      <c r="AH33" s="100"/>
      <c r="AI33" s="100"/>
      <c r="AJ33" s="100"/>
      <c r="AK33" s="27">
        <f t="shared" si="8"/>
        <v>-3020</v>
      </c>
      <c r="AL33" s="87">
        <f t="shared" si="6"/>
        <v>0</v>
      </c>
      <c r="AM33" s="24"/>
    </row>
    <row r="34" spans="1:39" s="6" customFormat="1" ht="15.75">
      <c r="A34" s="1">
        <v>245</v>
      </c>
      <c r="B34" s="2" t="s">
        <v>28</v>
      </c>
      <c r="C34" s="7">
        <v>2000</v>
      </c>
      <c r="D34" s="18"/>
      <c r="E34" s="3">
        <v>1300</v>
      </c>
      <c r="F34" s="3">
        <v>2000</v>
      </c>
      <c r="G34" s="3">
        <v>0</v>
      </c>
      <c r="H34" s="101" t="e">
        <f>#REF!-#REF!</f>
        <v>#REF!</v>
      </c>
      <c r="I34" s="5" t="e">
        <f>#REF!-F34-G34-#REF!</f>
        <v>#REF!</v>
      </c>
      <c r="J34" s="54">
        <v>2000</v>
      </c>
      <c r="K34" s="85"/>
      <c r="L34" s="8">
        <v>2000</v>
      </c>
      <c r="M34" s="54"/>
      <c r="N34" s="54">
        <f>L34+M34</f>
        <v>2000</v>
      </c>
      <c r="O34" s="54">
        <f t="shared" si="1"/>
        <v>0</v>
      </c>
      <c r="P34" s="33"/>
      <c r="Q34" s="33">
        <v>735</v>
      </c>
      <c r="R34" s="33">
        <v>2000</v>
      </c>
      <c r="S34" s="33">
        <v>2000</v>
      </c>
      <c r="T34" s="96">
        <f t="shared" si="9"/>
        <v>0</v>
      </c>
      <c r="U34" s="97">
        <f>R34/N34-1</f>
        <v>0</v>
      </c>
      <c r="V34" s="21"/>
      <c r="W34" s="21"/>
      <c r="X34" s="19">
        <v>0</v>
      </c>
      <c r="Y34" s="19">
        <v>0</v>
      </c>
      <c r="Z34" s="53">
        <v>2000</v>
      </c>
      <c r="AA34" s="98"/>
      <c r="AB34" s="53"/>
      <c r="AC34" s="53">
        <f>Z34</f>
        <v>2000</v>
      </c>
      <c r="AD34" s="53">
        <f t="shared" si="3"/>
        <v>0</v>
      </c>
      <c r="AE34" s="53">
        <f t="shared" si="4"/>
        <v>0</v>
      </c>
      <c r="AF34" s="99"/>
      <c r="AG34" s="99"/>
      <c r="AH34" s="100"/>
      <c r="AI34" s="100"/>
      <c r="AJ34" s="100"/>
      <c r="AK34" s="27">
        <f t="shared" si="8"/>
        <v>0</v>
      </c>
      <c r="AL34" s="87">
        <f t="shared" si="6"/>
        <v>0</v>
      </c>
      <c r="AM34" s="24"/>
    </row>
    <row r="35" spans="1:39" s="6" customFormat="1" ht="15.75">
      <c r="A35" s="1">
        <v>250</v>
      </c>
      <c r="B35" s="2" t="s">
        <v>29</v>
      </c>
      <c r="C35" s="7">
        <v>156300</v>
      </c>
      <c r="D35" s="18"/>
      <c r="E35" s="3">
        <v>25409</v>
      </c>
      <c r="F35" s="3">
        <v>54359</v>
      </c>
      <c r="G35" s="3">
        <v>25000</v>
      </c>
      <c r="H35" s="101" t="e">
        <f>#REF!-#REF!</f>
        <v>#REF!</v>
      </c>
      <c r="I35" s="5" t="e">
        <f>#REF!-F35-G35-#REF!</f>
        <v>#REF!</v>
      </c>
      <c r="J35" s="54">
        <v>40000</v>
      </c>
      <c r="K35" s="85"/>
      <c r="L35" s="8">
        <v>40000</v>
      </c>
      <c r="M35" s="54"/>
      <c r="N35" s="54">
        <v>40000</v>
      </c>
      <c r="O35" s="54">
        <f t="shared" si="1"/>
        <v>0</v>
      </c>
      <c r="P35" s="33"/>
      <c r="Q35" s="33">
        <v>21408.91</v>
      </c>
      <c r="R35" s="33">
        <v>40000</v>
      </c>
      <c r="S35" s="33">
        <v>40000</v>
      </c>
      <c r="T35" s="96">
        <f t="shared" si="9"/>
        <v>0</v>
      </c>
      <c r="U35" s="97">
        <f>R35/N35-1</f>
        <v>0</v>
      </c>
      <c r="V35" s="21"/>
      <c r="W35" s="21"/>
      <c r="X35" s="19">
        <v>0</v>
      </c>
      <c r="Y35" s="19">
        <v>0</v>
      </c>
      <c r="Z35" s="53">
        <v>40000</v>
      </c>
      <c r="AA35" s="98"/>
      <c r="AB35" s="53"/>
      <c r="AC35" s="53">
        <v>75000</v>
      </c>
      <c r="AD35" s="53">
        <f t="shared" si="3"/>
        <v>35000</v>
      </c>
      <c r="AE35" s="53">
        <f t="shared" si="4"/>
        <v>35000</v>
      </c>
      <c r="AF35" s="99"/>
      <c r="AG35" s="99"/>
      <c r="AH35" s="100"/>
      <c r="AI35" s="100"/>
      <c r="AJ35" s="100"/>
      <c r="AK35" s="27">
        <f t="shared" si="8"/>
        <v>0</v>
      </c>
      <c r="AL35" s="87">
        <f t="shared" si="6"/>
        <v>0.875</v>
      </c>
      <c r="AM35" s="24"/>
    </row>
    <row r="36" spans="1:39" s="14" customFormat="1" ht="15.75">
      <c r="A36" s="12">
        <v>270</v>
      </c>
      <c r="B36" s="13" t="s">
        <v>30</v>
      </c>
      <c r="C36" s="7">
        <v>83750</v>
      </c>
      <c r="D36" s="18"/>
      <c r="E36" s="3">
        <v>81200</v>
      </c>
      <c r="F36" s="3">
        <v>136293</v>
      </c>
      <c r="G36" s="3">
        <v>0</v>
      </c>
      <c r="H36" s="103" t="e">
        <f>#REF!-#REF!</f>
        <v>#REF!</v>
      </c>
      <c r="I36" s="5" t="e">
        <f>#REF!-F36-G36-#REF!</f>
        <v>#REF!</v>
      </c>
      <c r="J36" s="54">
        <v>125500</v>
      </c>
      <c r="K36" s="85"/>
      <c r="L36" s="8">
        <v>97550</v>
      </c>
      <c r="M36" s="54"/>
      <c r="N36" s="54">
        <v>98300</v>
      </c>
      <c r="O36" s="54">
        <f t="shared" si="1"/>
        <v>-27200</v>
      </c>
      <c r="P36" s="33"/>
      <c r="Q36" s="33">
        <v>75366.46</v>
      </c>
      <c r="R36" s="33">
        <v>110500</v>
      </c>
      <c r="S36" s="33">
        <v>110500</v>
      </c>
      <c r="T36" s="96">
        <f t="shared" si="9"/>
        <v>12200</v>
      </c>
      <c r="U36" s="97">
        <f>R36/N36-1</f>
        <v>0.12410986775178023</v>
      </c>
      <c r="V36" s="22" t="s">
        <v>109</v>
      </c>
      <c r="W36" s="22"/>
      <c r="X36" s="19">
        <v>0</v>
      </c>
      <c r="Y36" s="19">
        <v>0</v>
      </c>
      <c r="Z36" s="53">
        <v>110500</v>
      </c>
      <c r="AA36" s="104"/>
      <c r="AB36" s="53"/>
      <c r="AC36" s="53">
        <f>Z36+15000</f>
        <v>125500</v>
      </c>
      <c r="AD36" s="53">
        <f t="shared" si="3"/>
        <v>15000</v>
      </c>
      <c r="AE36" s="53">
        <f t="shared" si="4"/>
        <v>0</v>
      </c>
      <c r="AF36" s="99"/>
      <c r="AG36" s="99">
        <v>27200</v>
      </c>
      <c r="AH36" s="100"/>
      <c r="AI36" s="100"/>
      <c r="AJ36" s="100"/>
      <c r="AK36" s="27">
        <f t="shared" si="8"/>
        <v>12200</v>
      </c>
      <c r="AL36" s="87">
        <f t="shared" si="6"/>
        <v>0</v>
      </c>
      <c r="AM36" s="24"/>
    </row>
    <row r="37" spans="1:39" s="14" customFormat="1" ht="15.75">
      <c r="A37" s="12"/>
      <c r="B37" s="13"/>
      <c r="C37" s="7"/>
      <c r="D37" s="18"/>
      <c r="E37" s="23">
        <f aca="true" t="shared" si="10" ref="E37:Z37">SUM(E28:E36)</f>
        <v>2083904</v>
      </c>
      <c r="F37" s="23">
        <f t="shared" si="10"/>
        <v>2388609</v>
      </c>
      <c r="G37" s="23">
        <f t="shared" si="10"/>
        <v>185002</v>
      </c>
      <c r="H37" s="23" t="e">
        <f t="shared" si="10"/>
        <v>#REF!</v>
      </c>
      <c r="I37" s="23" t="e">
        <f t="shared" si="10"/>
        <v>#REF!</v>
      </c>
      <c r="J37" s="23">
        <f t="shared" si="10"/>
        <v>1981127</v>
      </c>
      <c r="K37" s="23">
        <f t="shared" si="10"/>
        <v>0</v>
      </c>
      <c r="L37" s="23">
        <f t="shared" si="10"/>
        <v>2173334</v>
      </c>
      <c r="M37" s="23">
        <f t="shared" si="10"/>
        <v>0</v>
      </c>
      <c r="N37" s="23">
        <f t="shared" si="10"/>
        <v>1855627</v>
      </c>
      <c r="O37" s="54">
        <f t="shared" si="1"/>
        <v>-125500</v>
      </c>
      <c r="P37" s="55">
        <f t="shared" si="10"/>
        <v>0</v>
      </c>
      <c r="Q37" s="55">
        <f t="shared" si="10"/>
        <v>896436.3900000001</v>
      </c>
      <c r="R37" s="55">
        <f t="shared" si="10"/>
        <v>1966127.464</v>
      </c>
      <c r="S37" s="55">
        <f t="shared" si="10"/>
        <v>1966127</v>
      </c>
      <c r="T37" s="55">
        <f t="shared" si="10"/>
        <v>110500</v>
      </c>
      <c r="U37" s="55">
        <f t="shared" si="10"/>
        <v>0.19843522515446932</v>
      </c>
      <c r="V37" s="55">
        <f t="shared" si="10"/>
        <v>0</v>
      </c>
      <c r="W37" s="55">
        <f t="shared" si="10"/>
        <v>0</v>
      </c>
      <c r="X37" s="55">
        <f t="shared" si="10"/>
        <v>0</v>
      </c>
      <c r="Y37" s="55">
        <f t="shared" si="10"/>
        <v>0</v>
      </c>
      <c r="Z37" s="55">
        <f t="shared" si="10"/>
        <v>1966127</v>
      </c>
      <c r="AA37" s="55">
        <f>SUM(AA28:AA36)</f>
        <v>0</v>
      </c>
      <c r="AB37" s="55">
        <f>SUM(AB28:AB36)</f>
        <v>0</v>
      </c>
      <c r="AC37" s="55">
        <f>SUM(AC28:AC36)</f>
        <v>2064818</v>
      </c>
      <c r="AD37" s="27">
        <f>SUM(AD28:AD36)</f>
        <v>98691</v>
      </c>
      <c r="AE37" s="158">
        <f t="shared" si="4"/>
        <v>83691</v>
      </c>
      <c r="AF37" s="110">
        <f>SUM(AF28:AF36)</f>
        <v>-3020</v>
      </c>
      <c r="AG37" s="110">
        <f>SUM(AG28:AG36)</f>
        <v>128520</v>
      </c>
      <c r="AH37" s="110">
        <f>SUM(AH28:AH36)</f>
        <v>0</v>
      </c>
      <c r="AI37" s="110">
        <f>SUM(AI28:AI36)</f>
        <v>0</v>
      </c>
      <c r="AJ37" s="23"/>
      <c r="AK37" s="23">
        <f>SUM(AK28:AK36)</f>
        <v>110500</v>
      </c>
      <c r="AL37" s="202">
        <f t="shared" si="6"/>
        <v>0.04224413679688377</v>
      </c>
      <c r="AM37" s="55">
        <f>SUM(AM28:AM36)</f>
        <v>0</v>
      </c>
    </row>
    <row r="38" spans="1:39" s="14" customFormat="1" ht="15.75">
      <c r="A38" s="12"/>
      <c r="B38" s="13"/>
      <c r="C38" s="7"/>
      <c r="D38" s="18"/>
      <c r="E38" s="3"/>
      <c r="F38" s="3"/>
      <c r="G38" s="3"/>
      <c r="H38" s="103"/>
      <c r="I38" s="5"/>
      <c r="J38" s="54"/>
      <c r="K38" s="85"/>
      <c r="L38" s="8"/>
      <c r="M38" s="54"/>
      <c r="N38" s="54"/>
      <c r="O38" s="54">
        <f t="shared" si="1"/>
        <v>0</v>
      </c>
      <c r="P38" s="33"/>
      <c r="Q38" s="33"/>
      <c r="R38" s="33"/>
      <c r="S38" s="33"/>
      <c r="T38" s="96"/>
      <c r="U38" s="97"/>
      <c r="V38" s="22"/>
      <c r="W38" s="22"/>
      <c r="X38" s="19"/>
      <c r="Y38" s="19"/>
      <c r="Z38" s="53"/>
      <c r="AA38" s="104"/>
      <c r="AB38" s="53"/>
      <c r="AC38" s="53" t="s">
        <v>41</v>
      </c>
      <c r="AD38" s="53" t="e">
        <f t="shared" si="3"/>
        <v>#VALUE!</v>
      </c>
      <c r="AE38" s="53" t="s">
        <v>41</v>
      </c>
      <c r="AF38" s="99"/>
      <c r="AG38" s="99"/>
      <c r="AH38" s="100"/>
      <c r="AI38" s="100"/>
      <c r="AJ38" s="100"/>
      <c r="AK38" s="27"/>
      <c r="AL38" s="87" t="s">
        <v>41</v>
      </c>
      <c r="AM38" s="24"/>
    </row>
    <row r="39" spans="1:39" s="14" customFormat="1" ht="15.75">
      <c r="A39" s="12"/>
      <c r="B39" s="13"/>
      <c r="C39" s="7"/>
      <c r="D39" s="18"/>
      <c r="E39" s="3"/>
      <c r="F39" s="3"/>
      <c r="G39" s="3"/>
      <c r="H39" s="103"/>
      <c r="I39" s="5"/>
      <c r="J39" s="54"/>
      <c r="K39" s="85"/>
      <c r="L39" s="8"/>
      <c r="M39" s="54"/>
      <c r="N39" s="54"/>
      <c r="O39" s="54">
        <f t="shared" si="1"/>
        <v>0</v>
      </c>
      <c r="P39" s="33"/>
      <c r="Q39" s="33"/>
      <c r="R39" s="33"/>
      <c r="S39" s="33"/>
      <c r="T39" s="96"/>
      <c r="U39" s="97"/>
      <c r="V39" s="22"/>
      <c r="W39" s="22"/>
      <c r="X39" s="19"/>
      <c r="Y39" s="19"/>
      <c r="Z39" s="53"/>
      <c r="AA39" s="104"/>
      <c r="AB39" s="53"/>
      <c r="AC39" s="53" t="s">
        <v>41</v>
      </c>
      <c r="AD39" s="53" t="e">
        <f t="shared" si="3"/>
        <v>#VALUE!</v>
      </c>
      <c r="AE39" s="53" t="s">
        <v>41</v>
      </c>
      <c r="AF39" s="99"/>
      <c r="AG39" s="99"/>
      <c r="AH39" s="100"/>
      <c r="AI39" s="100"/>
      <c r="AJ39" s="100"/>
      <c r="AK39" s="27"/>
      <c r="AL39" s="87" t="s">
        <v>41</v>
      </c>
      <c r="AM39" s="24"/>
    </row>
    <row r="40" spans="1:39" s="14" customFormat="1" ht="15.75">
      <c r="A40" s="210" t="s">
        <v>126</v>
      </c>
      <c r="B40" s="211"/>
      <c r="C40" s="18"/>
      <c r="D40" s="18"/>
      <c r="E40" s="3"/>
      <c r="F40" s="3"/>
      <c r="G40" s="3"/>
      <c r="H40" s="103"/>
      <c r="I40" s="5"/>
      <c r="J40" s="54"/>
      <c r="K40" s="85"/>
      <c r="L40" s="8"/>
      <c r="M40" s="54"/>
      <c r="N40" s="54"/>
      <c r="O40" s="54">
        <f t="shared" si="1"/>
        <v>0</v>
      </c>
      <c r="P40" s="33"/>
      <c r="Q40" s="33"/>
      <c r="R40" s="33"/>
      <c r="S40" s="33"/>
      <c r="T40" s="96"/>
      <c r="U40" s="97"/>
      <c r="V40" s="22"/>
      <c r="W40" s="22"/>
      <c r="X40" s="19"/>
      <c r="Y40" s="19"/>
      <c r="Z40" s="53"/>
      <c r="AA40" s="104"/>
      <c r="AB40" s="53"/>
      <c r="AC40" s="53" t="s">
        <v>41</v>
      </c>
      <c r="AD40" s="53" t="e">
        <f t="shared" si="3"/>
        <v>#VALUE!</v>
      </c>
      <c r="AE40" s="53" t="s">
        <v>41</v>
      </c>
      <c r="AF40" s="99"/>
      <c r="AG40" s="99"/>
      <c r="AH40" s="100"/>
      <c r="AI40" s="100"/>
      <c r="AJ40" s="100"/>
      <c r="AK40" s="27"/>
      <c r="AL40" s="87" t="s">
        <v>41</v>
      </c>
      <c r="AM40" s="24"/>
    </row>
    <row r="41" spans="1:39" s="6" customFormat="1" ht="15.75">
      <c r="A41" s="1">
        <v>320</v>
      </c>
      <c r="B41" s="2" t="s">
        <v>81</v>
      </c>
      <c r="C41" s="7">
        <v>270310</v>
      </c>
      <c r="D41" s="18"/>
      <c r="E41" s="3">
        <v>184678</v>
      </c>
      <c r="F41" s="3">
        <v>22502</v>
      </c>
      <c r="G41" s="3">
        <v>5407.34</v>
      </c>
      <c r="H41" s="101" t="e">
        <f>#REF!-#REF!</f>
        <v>#REF!</v>
      </c>
      <c r="I41" s="5" t="e">
        <f>#REF!-F41-G41-#REF!</f>
        <v>#REF!</v>
      </c>
      <c r="J41" s="54">
        <v>5000</v>
      </c>
      <c r="K41" s="85"/>
      <c r="L41" s="8">
        <v>309495</v>
      </c>
      <c r="M41" s="54"/>
      <c r="N41" s="54">
        <v>5000</v>
      </c>
      <c r="O41" s="54">
        <f t="shared" si="1"/>
        <v>0</v>
      </c>
      <c r="P41" s="33"/>
      <c r="Q41" s="33">
        <v>23835.37</v>
      </c>
      <c r="R41" s="33">
        <v>264745</v>
      </c>
      <c r="S41" s="33">
        <v>100000</v>
      </c>
      <c r="T41" s="96">
        <f t="shared" si="9"/>
        <v>95000</v>
      </c>
      <c r="U41" s="97">
        <f>S41/N41-1</f>
        <v>19</v>
      </c>
      <c r="V41" s="21"/>
      <c r="W41" s="21"/>
      <c r="X41" s="19">
        <v>0</v>
      </c>
      <c r="Y41" s="19">
        <v>-164745</v>
      </c>
      <c r="Z41" s="53">
        <v>100000</v>
      </c>
      <c r="AA41" s="98"/>
      <c r="AB41" s="53"/>
      <c r="AC41" s="53">
        <v>225000</v>
      </c>
      <c r="AD41" s="53">
        <f t="shared" si="3"/>
        <v>125000</v>
      </c>
      <c r="AE41" s="53">
        <f t="shared" si="4"/>
        <v>220000</v>
      </c>
      <c r="AF41" s="99">
        <v>0</v>
      </c>
      <c r="AG41" s="99"/>
      <c r="AH41" s="100">
        <v>0</v>
      </c>
      <c r="AI41" s="100"/>
      <c r="AJ41" s="100"/>
      <c r="AK41" s="27">
        <f>Z41-N41</f>
        <v>95000</v>
      </c>
      <c r="AL41" s="87">
        <f t="shared" si="6"/>
        <v>44</v>
      </c>
      <c r="AM41" s="24"/>
    </row>
    <row r="42" spans="1:39" s="6" customFormat="1" ht="15.75">
      <c r="A42" s="1">
        <v>325</v>
      </c>
      <c r="B42" s="2" t="s">
        <v>76</v>
      </c>
      <c r="C42" s="7"/>
      <c r="D42" s="18"/>
      <c r="E42" s="3">
        <v>94280</v>
      </c>
      <c r="F42" s="3">
        <v>37455</v>
      </c>
      <c r="G42" s="3"/>
      <c r="H42" s="101"/>
      <c r="I42" s="5" t="e">
        <f>#REF!-F42-G42-#REF!</f>
        <v>#REF!</v>
      </c>
      <c r="J42" s="54">
        <v>5000</v>
      </c>
      <c r="K42" s="85"/>
      <c r="L42" s="8">
        <v>82210</v>
      </c>
      <c r="M42" s="54">
        <v>0</v>
      </c>
      <c r="N42" s="54">
        <v>5000</v>
      </c>
      <c r="O42" s="54">
        <f t="shared" si="1"/>
        <v>0</v>
      </c>
      <c r="P42" s="33"/>
      <c r="Q42" s="33">
        <v>7770</v>
      </c>
      <c r="R42" s="33">
        <v>12350</v>
      </c>
      <c r="S42" s="33">
        <v>12350</v>
      </c>
      <c r="T42" s="96">
        <f t="shared" si="9"/>
        <v>7350</v>
      </c>
      <c r="U42" s="97">
        <f aca="true" t="shared" si="11" ref="U42:U54">S42/N42-1</f>
        <v>1.4700000000000002</v>
      </c>
      <c r="V42" s="21"/>
      <c r="W42" s="21"/>
      <c r="X42" s="19">
        <v>0</v>
      </c>
      <c r="Y42" s="19">
        <v>0</v>
      </c>
      <c r="Z42" s="53">
        <v>12350</v>
      </c>
      <c r="AA42" s="98"/>
      <c r="AB42" s="53"/>
      <c r="AC42" s="53">
        <v>75000</v>
      </c>
      <c r="AD42" s="53">
        <f t="shared" si="3"/>
        <v>62650</v>
      </c>
      <c r="AE42" s="53">
        <f t="shared" si="4"/>
        <v>70000</v>
      </c>
      <c r="AF42" s="99">
        <v>0</v>
      </c>
      <c r="AG42" s="99"/>
      <c r="AH42" s="100">
        <v>0</v>
      </c>
      <c r="AI42" s="100"/>
      <c r="AJ42" s="100"/>
      <c r="AK42" s="27">
        <f>Z42-N42</f>
        <v>7350</v>
      </c>
      <c r="AL42" s="87">
        <f t="shared" si="6"/>
        <v>14</v>
      </c>
      <c r="AM42" s="24"/>
    </row>
    <row r="43" spans="1:39" s="6" customFormat="1" ht="15.75">
      <c r="A43" s="1">
        <v>330</v>
      </c>
      <c r="B43" s="2" t="s">
        <v>31</v>
      </c>
      <c r="C43" s="7">
        <v>579000</v>
      </c>
      <c r="D43" s="18"/>
      <c r="E43" s="3">
        <v>761981</v>
      </c>
      <c r="F43" s="3">
        <v>768669</v>
      </c>
      <c r="G43" s="3">
        <v>239904.55</v>
      </c>
      <c r="H43" s="101" t="e">
        <f>#REF!-#REF!</f>
        <v>#REF!</v>
      </c>
      <c r="I43" s="5" t="e">
        <f>#REF!-F43-G43-#REF!</f>
        <v>#REF!</v>
      </c>
      <c r="J43" s="54">
        <v>705825</v>
      </c>
      <c r="K43" s="85"/>
      <c r="L43" s="8">
        <v>710825</v>
      </c>
      <c r="M43" s="54"/>
      <c r="N43" s="54">
        <f>L43+M43</f>
        <v>710825</v>
      </c>
      <c r="O43" s="54">
        <f t="shared" si="1"/>
        <v>5000</v>
      </c>
      <c r="P43" s="33"/>
      <c r="Q43" s="33">
        <v>408207.41</v>
      </c>
      <c r="R43" s="33">
        <v>775000</v>
      </c>
      <c r="S43" s="33">
        <v>775000</v>
      </c>
      <c r="T43" s="96">
        <f t="shared" si="9"/>
        <v>64175</v>
      </c>
      <c r="U43" s="97">
        <f t="shared" si="11"/>
        <v>0.09028241831674455</v>
      </c>
      <c r="V43" s="21"/>
      <c r="W43" s="21"/>
      <c r="X43" s="19">
        <v>0</v>
      </c>
      <c r="Y43" s="19">
        <v>0</v>
      </c>
      <c r="Z43" s="53">
        <v>775000</v>
      </c>
      <c r="AA43" s="98"/>
      <c r="AB43" s="53"/>
      <c r="AC43" s="53">
        <v>750000</v>
      </c>
      <c r="AD43" s="53">
        <f t="shared" si="3"/>
        <v>-25000</v>
      </c>
      <c r="AE43" s="53">
        <f t="shared" si="4"/>
        <v>44175</v>
      </c>
      <c r="AF43" s="99">
        <v>0</v>
      </c>
      <c r="AG43" s="99">
        <v>0</v>
      </c>
      <c r="AH43" s="100">
        <v>0</v>
      </c>
      <c r="AI43" s="100"/>
      <c r="AJ43" s="100"/>
      <c r="AK43" s="27">
        <f>Z43-N43</f>
        <v>64175</v>
      </c>
      <c r="AL43" s="87">
        <f t="shared" si="6"/>
        <v>0.06258633513973</v>
      </c>
      <c r="AM43" s="24"/>
    </row>
    <row r="44" spans="1:39" s="6" customFormat="1" ht="15.75">
      <c r="A44" s="1">
        <v>340</v>
      </c>
      <c r="B44" s="2" t="s">
        <v>32</v>
      </c>
      <c r="C44" s="7">
        <v>143921</v>
      </c>
      <c r="D44" s="18"/>
      <c r="E44" s="3">
        <v>42825</v>
      </c>
      <c r="F44" s="3">
        <v>56083</v>
      </c>
      <c r="G44" s="3">
        <v>472.85</v>
      </c>
      <c r="H44" s="101" t="e">
        <f>#REF!-#REF!</f>
        <v>#REF!</v>
      </c>
      <c r="I44" s="5" t="e">
        <f>#REF!-F44-G44-#REF!</f>
        <v>#REF!</v>
      </c>
      <c r="J44" s="54">
        <v>93000</v>
      </c>
      <c r="K44" s="85"/>
      <c r="L44" s="8">
        <v>73000</v>
      </c>
      <c r="M44" s="54">
        <v>0</v>
      </c>
      <c r="N44" s="54">
        <f>L44+M44</f>
        <v>73000</v>
      </c>
      <c r="O44" s="54">
        <f t="shared" si="1"/>
        <v>-20000</v>
      </c>
      <c r="P44" s="33"/>
      <c r="Q44" s="33">
        <v>41628.71</v>
      </c>
      <c r="R44" s="33">
        <v>93000</v>
      </c>
      <c r="S44" s="33">
        <v>93000</v>
      </c>
      <c r="T44" s="96">
        <f t="shared" si="9"/>
        <v>20000</v>
      </c>
      <c r="U44" s="97">
        <f t="shared" si="11"/>
        <v>0.273972602739726</v>
      </c>
      <c r="V44" s="21"/>
      <c r="W44" s="21"/>
      <c r="X44" s="19">
        <v>0</v>
      </c>
      <c r="Y44" s="19">
        <v>0</v>
      </c>
      <c r="Z44" s="53">
        <v>93000</v>
      </c>
      <c r="AA44" s="98"/>
      <c r="AB44" s="53"/>
      <c r="AC44" s="53">
        <v>95000</v>
      </c>
      <c r="AD44" s="53">
        <f t="shared" si="3"/>
        <v>2000</v>
      </c>
      <c r="AE44" s="53">
        <f t="shared" si="4"/>
        <v>2000</v>
      </c>
      <c r="AF44" s="99">
        <v>0</v>
      </c>
      <c r="AG44" s="99">
        <v>20000</v>
      </c>
      <c r="AH44" s="100"/>
      <c r="AI44" s="100"/>
      <c r="AJ44" s="100"/>
      <c r="AK44" s="27">
        <f>Z44-N44</f>
        <v>20000</v>
      </c>
      <c r="AL44" s="87">
        <f t="shared" si="6"/>
        <v>0.021505376344086002</v>
      </c>
      <c r="AM44" s="24"/>
    </row>
    <row r="45" spans="1:39" s="6" customFormat="1" ht="15.75">
      <c r="A45" s="1"/>
      <c r="B45" s="2"/>
      <c r="C45" s="7"/>
      <c r="D45" s="18"/>
      <c r="E45" s="3"/>
      <c r="F45" s="3"/>
      <c r="G45" s="3"/>
      <c r="H45" s="101"/>
      <c r="I45" s="5"/>
      <c r="J45" s="56">
        <f>SUM(J41:J44)</f>
        <v>808825</v>
      </c>
      <c r="K45" s="56">
        <f>SUM(K41:K44)</f>
        <v>0</v>
      </c>
      <c r="L45" s="56">
        <f>SUM(L41:L44)</f>
        <v>1175530</v>
      </c>
      <c r="M45" s="56">
        <f>SUM(M41:M44)</f>
        <v>0</v>
      </c>
      <c r="N45" s="56">
        <f>SUM(N41:N44)</f>
        <v>793825</v>
      </c>
      <c r="O45" s="54">
        <f t="shared" si="1"/>
        <v>-15000</v>
      </c>
      <c r="P45" s="56">
        <f aca="true" t="shared" si="12" ref="P45:Z45">SUM(P41:P44)</f>
        <v>0</v>
      </c>
      <c r="Q45" s="56">
        <f t="shared" si="12"/>
        <v>481441.49</v>
      </c>
      <c r="R45" s="56">
        <f t="shared" si="12"/>
        <v>1145095</v>
      </c>
      <c r="S45" s="56">
        <f t="shared" si="12"/>
        <v>980350</v>
      </c>
      <c r="T45" s="56">
        <f t="shared" si="12"/>
        <v>186525</v>
      </c>
      <c r="U45" s="56">
        <f t="shared" si="12"/>
        <v>20.834255021056467</v>
      </c>
      <c r="V45" s="56">
        <f t="shared" si="12"/>
        <v>0</v>
      </c>
      <c r="W45" s="56">
        <f t="shared" si="12"/>
        <v>0</v>
      </c>
      <c r="X45" s="56">
        <f t="shared" si="12"/>
        <v>0</v>
      </c>
      <c r="Y45" s="56">
        <f t="shared" si="12"/>
        <v>-164745</v>
      </c>
      <c r="Z45" s="56">
        <f t="shared" si="12"/>
        <v>980350</v>
      </c>
      <c r="AA45" s="56">
        <f>SUM(AA41:AA44)</f>
        <v>0</v>
      </c>
      <c r="AB45" s="56">
        <f>SUM(AB41:AB44)</f>
        <v>0</v>
      </c>
      <c r="AC45" s="56">
        <f>SUM(AC38:AC44)</f>
        <v>1145000</v>
      </c>
      <c r="AD45" s="53" t="e">
        <f>SUM(AD38:AD44)</f>
        <v>#VALUE!</v>
      </c>
      <c r="AE45" s="203">
        <f t="shared" si="4"/>
        <v>336175</v>
      </c>
      <c r="AF45" s="26">
        <f>SUM(AF41:AF44)</f>
        <v>0</v>
      </c>
      <c r="AG45" s="26">
        <f>SUM(AG41:AG44)</f>
        <v>20000</v>
      </c>
      <c r="AH45" s="26">
        <f>SUM(AH41:AH44)</f>
        <v>0</v>
      </c>
      <c r="AI45" s="26">
        <f>SUM(AI41:AI44)</f>
        <v>0</v>
      </c>
      <c r="AJ45" s="35"/>
      <c r="AK45" s="35">
        <f>SUM(AK41:AK44)</f>
        <v>186525</v>
      </c>
      <c r="AL45" s="204">
        <f t="shared" si="6"/>
        <v>0.4156337897567459</v>
      </c>
      <c r="AM45" s="24"/>
    </row>
    <row r="46" spans="1:39" s="6" customFormat="1" ht="15.75">
      <c r="A46" s="1"/>
      <c r="B46" s="2"/>
      <c r="C46" s="7"/>
      <c r="D46" s="18"/>
      <c r="E46" s="3"/>
      <c r="F46" s="3"/>
      <c r="G46" s="3"/>
      <c r="H46" s="101"/>
      <c r="I46" s="5"/>
      <c r="J46" s="54"/>
      <c r="K46" s="85"/>
      <c r="L46" s="8"/>
      <c r="M46" s="54"/>
      <c r="N46" s="54"/>
      <c r="O46" s="54">
        <f t="shared" si="1"/>
        <v>0</v>
      </c>
      <c r="P46" s="33"/>
      <c r="Q46" s="33"/>
      <c r="R46" s="33"/>
      <c r="S46" s="33"/>
      <c r="T46" s="96"/>
      <c r="U46" s="97"/>
      <c r="V46" s="21"/>
      <c r="W46" s="21"/>
      <c r="X46" s="19"/>
      <c r="Y46" s="19"/>
      <c r="Z46" s="53"/>
      <c r="AA46" s="98"/>
      <c r="AB46" s="53"/>
      <c r="AC46" s="53" t="s">
        <v>41</v>
      </c>
      <c r="AD46" s="53" t="e">
        <f t="shared" si="3"/>
        <v>#VALUE!</v>
      </c>
      <c r="AE46" s="53" t="s">
        <v>41</v>
      </c>
      <c r="AF46" s="99"/>
      <c r="AG46" s="99"/>
      <c r="AH46" s="100"/>
      <c r="AI46" s="100"/>
      <c r="AJ46" s="100"/>
      <c r="AK46" s="27"/>
      <c r="AL46" s="87" t="s">
        <v>41</v>
      </c>
      <c r="AM46" s="24"/>
    </row>
    <row r="47" spans="1:39" s="6" customFormat="1" ht="15.75">
      <c r="A47" s="1"/>
      <c r="B47" s="2"/>
      <c r="C47" s="18"/>
      <c r="D47" s="18"/>
      <c r="E47" s="3"/>
      <c r="F47" s="3"/>
      <c r="G47" s="3"/>
      <c r="H47" s="101"/>
      <c r="I47" s="5"/>
      <c r="J47" s="54"/>
      <c r="K47" s="85"/>
      <c r="L47" s="8"/>
      <c r="M47" s="54"/>
      <c r="N47" s="54"/>
      <c r="O47" s="54"/>
      <c r="P47" s="33"/>
      <c r="Q47" s="33"/>
      <c r="R47" s="33"/>
      <c r="S47" s="33"/>
      <c r="T47" s="96"/>
      <c r="U47" s="97"/>
      <c r="V47" s="21"/>
      <c r="W47" s="21"/>
      <c r="X47" s="19"/>
      <c r="Y47" s="19"/>
      <c r="Z47" s="53"/>
      <c r="AA47" s="98"/>
      <c r="AB47" s="53"/>
      <c r="AC47" s="53"/>
      <c r="AD47" s="53"/>
      <c r="AE47" s="53" t="s">
        <v>41</v>
      </c>
      <c r="AF47" s="99"/>
      <c r="AG47" s="99"/>
      <c r="AH47" s="100"/>
      <c r="AI47" s="100"/>
      <c r="AJ47" s="100"/>
      <c r="AK47" s="27"/>
      <c r="AL47" s="87"/>
      <c r="AM47" s="24"/>
    </row>
    <row r="48" spans="1:39" s="6" customFormat="1" ht="15.75">
      <c r="A48" s="210" t="s">
        <v>127</v>
      </c>
      <c r="B48" s="211"/>
      <c r="C48" s="18"/>
      <c r="D48" s="18"/>
      <c r="E48" s="3"/>
      <c r="F48" s="3"/>
      <c r="G48" s="3"/>
      <c r="H48" s="101"/>
      <c r="I48" s="5"/>
      <c r="J48" s="54"/>
      <c r="K48" s="85"/>
      <c r="L48" s="8"/>
      <c r="M48" s="54"/>
      <c r="N48" s="54"/>
      <c r="O48" s="54">
        <f t="shared" si="1"/>
        <v>0</v>
      </c>
      <c r="P48" s="33"/>
      <c r="Q48" s="33"/>
      <c r="R48" s="33"/>
      <c r="S48" s="33"/>
      <c r="T48" s="96"/>
      <c r="U48" s="97"/>
      <c r="V48" s="21"/>
      <c r="W48" s="21"/>
      <c r="X48" s="19"/>
      <c r="Y48" s="19"/>
      <c r="Z48" s="53"/>
      <c r="AA48" s="98"/>
      <c r="AB48" s="53"/>
      <c r="AC48" s="53" t="s">
        <v>41</v>
      </c>
      <c r="AD48" s="53" t="e">
        <f t="shared" si="3"/>
        <v>#VALUE!</v>
      </c>
      <c r="AE48" s="53" t="s">
        <v>41</v>
      </c>
      <c r="AF48" s="99"/>
      <c r="AG48" s="99"/>
      <c r="AH48" s="100"/>
      <c r="AI48" s="100"/>
      <c r="AJ48" s="100"/>
      <c r="AK48" s="27"/>
      <c r="AL48" s="87" t="s">
        <v>41</v>
      </c>
      <c r="AM48" s="24"/>
    </row>
    <row r="49" spans="1:39" s="6" customFormat="1" ht="15.75">
      <c r="A49" s="1">
        <v>400</v>
      </c>
      <c r="B49" s="2" t="s">
        <v>33</v>
      </c>
      <c r="C49" s="7">
        <v>285000</v>
      </c>
      <c r="D49" s="18"/>
      <c r="E49" s="3">
        <v>414325</v>
      </c>
      <c r="F49" s="3">
        <v>294136</v>
      </c>
      <c r="G49" s="3">
        <v>156274.55</v>
      </c>
      <c r="H49" s="101" t="e">
        <f>#REF!-#REF!</f>
        <v>#REF!</v>
      </c>
      <c r="I49" s="5" t="e">
        <f>#REF!-F49-G49-#REF!</f>
        <v>#REF!</v>
      </c>
      <c r="J49" s="54">
        <v>405000</v>
      </c>
      <c r="K49" s="85"/>
      <c r="L49" s="8">
        <v>285000</v>
      </c>
      <c r="M49" s="54">
        <v>0</v>
      </c>
      <c r="N49" s="54">
        <v>405000</v>
      </c>
      <c r="O49" s="54">
        <f t="shared" si="1"/>
        <v>0</v>
      </c>
      <c r="P49" s="33"/>
      <c r="Q49" s="33">
        <v>285681.99</v>
      </c>
      <c r="R49" s="33">
        <v>405000</v>
      </c>
      <c r="S49" s="33">
        <v>405000</v>
      </c>
      <c r="T49" s="96">
        <f t="shared" si="9"/>
        <v>0</v>
      </c>
      <c r="U49" s="97">
        <f t="shared" si="11"/>
        <v>0</v>
      </c>
      <c r="V49" s="21"/>
      <c r="W49" s="21"/>
      <c r="X49" s="19">
        <v>0</v>
      </c>
      <c r="Y49" s="19">
        <v>0</v>
      </c>
      <c r="Z49" s="53">
        <v>405000</v>
      </c>
      <c r="AA49" s="98"/>
      <c r="AB49" s="53"/>
      <c r="AC49" s="53">
        <f>Z49</f>
        <v>405000</v>
      </c>
      <c r="AD49" s="53">
        <f t="shared" si="3"/>
        <v>0</v>
      </c>
      <c r="AE49" s="53">
        <f t="shared" si="4"/>
        <v>0</v>
      </c>
      <c r="AF49" s="99"/>
      <c r="AG49" s="99"/>
      <c r="AH49" s="100"/>
      <c r="AI49" s="100"/>
      <c r="AJ49" s="100"/>
      <c r="AK49" s="27">
        <f aca="true" t="shared" si="13" ref="AK49:AK54">Z49-N49</f>
        <v>0</v>
      </c>
      <c r="AL49" s="87">
        <f t="shared" si="6"/>
        <v>0</v>
      </c>
      <c r="AM49" s="24"/>
    </row>
    <row r="50" spans="1:39" s="6" customFormat="1" ht="15.75">
      <c r="A50" s="1">
        <v>411</v>
      </c>
      <c r="B50" s="2" t="s">
        <v>34</v>
      </c>
      <c r="C50" s="7">
        <v>53301</v>
      </c>
      <c r="D50" s="18"/>
      <c r="E50" s="3">
        <v>78388</v>
      </c>
      <c r="F50" s="3">
        <v>46825</v>
      </c>
      <c r="G50" s="3">
        <v>30000</v>
      </c>
      <c r="H50" s="101" t="e">
        <f>#REF!-#REF!</f>
        <v>#REF!</v>
      </c>
      <c r="I50" s="5" t="e">
        <f>#REF!-F50-G50-#REF!</f>
        <v>#REF!</v>
      </c>
      <c r="J50" s="54">
        <v>75000</v>
      </c>
      <c r="K50" s="85"/>
      <c r="L50" s="8">
        <v>59332</v>
      </c>
      <c r="M50" s="54">
        <v>0</v>
      </c>
      <c r="N50" s="54">
        <v>62332</v>
      </c>
      <c r="O50" s="54">
        <f t="shared" si="1"/>
        <v>-12668</v>
      </c>
      <c r="P50" s="33"/>
      <c r="Q50" s="33">
        <v>64385.75</v>
      </c>
      <c r="R50" s="33">
        <v>75000</v>
      </c>
      <c r="S50" s="33">
        <v>75000</v>
      </c>
      <c r="T50" s="96">
        <f t="shared" si="9"/>
        <v>12668</v>
      </c>
      <c r="U50" s="97">
        <f t="shared" si="11"/>
        <v>0.20323429378168512</v>
      </c>
      <c r="V50" s="21"/>
      <c r="W50" s="21"/>
      <c r="X50" s="19">
        <v>0</v>
      </c>
      <c r="Y50" s="19">
        <v>0</v>
      </c>
      <c r="Z50" s="53">
        <v>75000</v>
      </c>
      <c r="AA50" s="98"/>
      <c r="AB50" s="53"/>
      <c r="AC50" s="53">
        <f>Z50</f>
        <v>75000</v>
      </c>
      <c r="AD50" s="53">
        <f t="shared" si="3"/>
        <v>0</v>
      </c>
      <c r="AE50" s="53">
        <f t="shared" si="4"/>
        <v>0</v>
      </c>
      <c r="AF50" s="99"/>
      <c r="AG50" s="99">
        <v>12668</v>
      </c>
      <c r="AH50" s="100"/>
      <c r="AI50" s="100"/>
      <c r="AJ50" s="100"/>
      <c r="AK50" s="27">
        <f t="shared" si="13"/>
        <v>12668</v>
      </c>
      <c r="AL50" s="87">
        <f t="shared" si="6"/>
        <v>0</v>
      </c>
      <c r="AM50" s="24"/>
    </row>
    <row r="51" spans="1:39" s="6" customFormat="1" ht="15.75">
      <c r="A51" s="1">
        <v>431</v>
      </c>
      <c r="B51" s="2" t="s">
        <v>35</v>
      </c>
      <c r="C51" s="7">
        <v>53350</v>
      </c>
      <c r="D51" s="18"/>
      <c r="E51" s="3">
        <v>111732</v>
      </c>
      <c r="F51" s="3">
        <v>64268</v>
      </c>
      <c r="G51" s="3">
        <v>13759.96</v>
      </c>
      <c r="H51" s="101" t="e">
        <f>#REF!-#REF!</f>
        <v>#REF!</v>
      </c>
      <c r="I51" s="5" t="e">
        <f>#REF!-F51-G51-#REF!</f>
        <v>#REF!</v>
      </c>
      <c r="J51" s="54">
        <v>75874</v>
      </c>
      <c r="K51" s="85"/>
      <c r="L51" s="8">
        <v>69824</v>
      </c>
      <c r="M51" s="54">
        <v>0</v>
      </c>
      <c r="N51" s="54">
        <v>68124</v>
      </c>
      <c r="O51" s="54">
        <f t="shared" si="1"/>
        <v>-7750</v>
      </c>
      <c r="P51" s="33"/>
      <c r="Q51" s="33">
        <v>20031.7</v>
      </c>
      <c r="R51" s="33">
        <v>75874</v>
      </c>
      <c r="S51" s="33">
        <v>75874</v>
      </c>
      <c r="T51" s="96">
        <f t="shared" si="9"/>
        <v>7750</v>
      </c>
      <c r="U51" s="97">
        <f t="shared" si="11"/>
        <v>0.11376313780752745</v>
      </c>
      <c r="V51" s="21"/>
      <c r="W51" s="21"/>
      <c r="X51" s="19">
        <v>0</v>
      </c>
      <c r="Y51" s="19">
        <v>0</v>
      </c>
      <c r="Z51" s="53">
        <v>75874</v>
      </c>
      <c r="AA51" s="98"/>
      <c r="AB51" s="53"/>
      <c r="AC51" s="53">
        <v>62225</v>
      </c>
      <c r="AD51" s="53">
        <f t="shared" si="3"/>
        <v>-13649</v>
      </c>
      <c r="AE51" s="53">
        <f t="shared" si="4"/>
        <v>-13649</v>
      </c>
      <c r="AF51" s="99">
        <v>7750</v>
      </c>
      <c r="AG51" s="99"/>
      <c r="AH51" s="100"/>
      <c r="AI51" s="100"/>
      <c r="AJ51" s="100"/>
      <c r="AK51" s="27">
        <f t="shared" si="13"/>
        <v>7750</v>
      </c>
      <c r="AL51" s="87">
        <f t="shared" si="6"/>
        <v>-0.1798903445185439</v>
      </c>
      <c r="AM51" s="24"/>
    </row>
    <row r="52" spans="1:39" s="14" customFormat="1" ht="15.75">
      <c r="A52" s="102">
        <v>432</v>
      </c>
      <c r="B52" s="13" t="s">
        <v>36</v>
      </c>
      <c r="C52" s="7">
        <v>465051</v>
      </c>
      <c r="D52" s="18"/>
      <c r="E52" s="3">
        <v>591868</v>
      </c>
      <c r="F52" s="3">
        <v>325571</v>
      </c>
      <c r="G52" s="3">
        <v>189111.7</v>
      </c>
      <c r="H52" s="103" t="e">
        <f>#REF!-#REF!</f>
        <v>#REF!</v>
      </c>
      <c r="I52" s="5" t="e">
        <f>#REF!-F52-G52-#REF!</f>
        <v>#REF!</v>
      </c>
      <c r="J52" s="54">
        <v>323051</v>
      </c>
      <c r="K52" s="85"/>
      <c r="L52" s="8">
        <v>471051</v>
      </c>
      <c r="M52" s="54">
        <v>0</v>
      </c>
      <c r="N52" s="54">
        <v>473051</v>
      </c>
      <c r="O52" s="54">
        <f t="shared" si="1"/>
        <v>150000</v>
      </c>
      <c r="P52" s="33"/>
      <c r="Q52" s="33">
        <v>282152.84</v>
      </c>
      <c r="R52" s="33">
        <v>479544</v>
      </c>
      <c r="S52" s="33">
        <v>473051</v>
      </c>
      <c r="T52" s="96">
        <f t="shared" si="9"/>
        <v>0</v>
      </c>
      <c r="U52" s="97">
        <f t="shared" si="11"/>
        <v>0</v>
      </c>
      <c r="V52" s="22"/>
      <c r="W52" s="22"/>
      <c r="X52" s="19">
        <v>0</v>
      </c>
      <c r="Y52" s="19">
        <v>-6493</v>
      </c>
      <c r="Z52" s="53">
        <v>473051</v>
      </c>
      <c r="AA52" s="104"/>
      <c r="AB52" s="53"/>
      <c r="AC52" s="53">
        <f>Z52</f>
        <v>473051</v>
      </c>
      <c r="AD52" s="53">
        <f t="shared" si="3"/>
        <v>0</v>
      </c>
      <c r="AE52" s="53">
        <f t="shared" si="4"/>
        <v>150000</v>
      </c>
      <c r="AF52" s="99"/>
      <c r="AG52" s="99"/>
      <c r="AH52" s="100"/>
      <c r="AI52" s="100"/>
      <c r="AJ52" s="100"/>
      <c r="AK52" s="27">
        <f t="shared" si="13"/>
        <v>0</v>
      </c>
      <c r="AL52" s="87">
        <f t="shared" si="6"/>
        <v>0.46432297067645667</v>
      </c>
      <c r="AM52" s="24"/>
    </row>
    <row r="53" spans="1:39" s="14" customFormat="1" ht="15.75">
      <c r="A53" s="12">
        <v>435</v>
      </c>
      <c r="B53" s="13" t="s">
        <v>80</v>
      </c>
      <c r="C53" s="7"/>
      <c r="D53" s="18"/>
      <c r="E53" s="3">
        <v>0</v>
      </c>
      <c r="F53" s="3">
        <v>13763</v>
      </c>
      <c r="G53" s="3"/>
      <c r="H53" s="103"/>
      <c r="I53" s="5"/>
      <c r="J53" s="54">
        <v>20000</v>
      </c>
      <c r="K53" s="85"/>
      <c r="L53" s="8">
        <v>20000</v>
      </c>
      <c r="M53" s="54"/>
      <c r="N53" s="54">
        <f>L53+M53</f>
        <v>20000</v>
      </c>
      <c r="O53" s="54">
        <f t="shared" si="1"/>
        <v>0</v>
      </c>
      <c r="P53" s="33"/>
      <c r="Q53" s="33">
        <v>3103.12</v>
      </c>
      <c r="R53" s="33">
        <v>20000</v>
      </c>
      <c r="S53" s="33">
        <v>20000</v>
      </c>
      <c r="T53" s="96">
        <f t="shared" si="9"/>
        <v>0</v>
      </c>
      <c r="U53" s="97">
        <f t="shared" si="11"/>
        <v>0</v>
      </c>
      <c r="V53" s="22"/>
      <c r="W53" s="22"/>
      <c r="X53" s="19">
        <v>0</v>
      </c>
      <c r="Y53" s="19">
        <v>0</v>
      </c>
      <c r="Z53" s="53">
        <v>20000</v>
      </c>
      <c r="AA53" s="104"/>
      <c r="AB53" s="53"/>
      <c r="AC53" s="53">
        <f>Z53</f>
        <v>20000</v>
      </c>
      <c r="AD53" s="53">
        <f t="shared" si="3"/>
        <v>0</v>
      </c>
      <c r="AE53" s="53">
        <f t="shared" si="4"/>
        <v>0</v>
      </c>
      <c r="AF53" s="99"/>
      <c r="AG53" s="99"/>
      <c r="AH53" s="100"/>
      <c r="AI53" s="100"/>
      <c r="AJ53" s="100"/>
      <c r="AK53" s="27">
        <f t="shared" si="13"/>
        <v>0</v>
      </c>
      <c r="AL53" s="87">
        <f t="shared" si="6"/>
        <v>0</v>
      </c>
      <c r="AM53" s="24"/>
    </row>
    <row r="54" spans="1:39" s="14" customFormat="1" ht="15.75">
      <c r="A54" s="12">
        <v>442</v>
      </c>
      <c r="B54" s="13" t="s">
        <v>37</v>
      </c>
      <c r="C54" s="7">
        <v>355000</v>
      </c>
      <c r="D54" s="18"/>
      <c r="E54" s="3">
        <v>239806</v>
      </c>
      <c r="F54" s="3">
        <v>453626</v>
      </c>
      <c r="G54" s="3">
        <v>126000</v>
      </c>
      <c r="H54" s="103" t="e">
        <f>#REF!-#REF!</f>
        <v>#REF!</v>
      </c>
      <c r="I54" s="5" t="e">
        <f>#REF!-F54-G54-#REF!</f>
        <v>#REF!</v>
      </c>
      <c r="J54" s="54">
        <v>437097</v>
      </c>
      <c r="K54" s="85"/>
      <c r="L54" s="8">
        <v>355000</v>
      </c>
      <c r="M54" s="54">
        <v>0</v>
      </c>
      <c r="N54" s="54">
        <v>437097</v>
      </c>
      <c r="O54" s="54">
        <f t="shared" si="1"/>
        <v>0</v>
      </c>
      <c r="P54" s="33"/>
      <c r="Q54" s="33">
        <v>250495.83</v>
      </c>
      <c r="R54" s="33">
        <v>437097</v>
      </c>
      <c r="S54" s="33">
        <v>437097</v>
      </c>
      <c r="T54" s="96">
        <f t="shared" si="9"/>
        <v>0</v>
      </c>
      <c r="U54" s="97">
        <f t="shared" si="11"/>
        <v>0</v>
      </c>
      <c r="V54" s="22"/>
      <c r="W54" s="22"/>
      <c r="X54" s="19">
        <v>0</v>
      </c>
      <c r="Y54" s="19">
        <v>0</v>
      </c>
      <c r="Z54" s="53">
        <v>437097</v>
      </c>
      <c r="AA54" s="104"/>
      <c r="AB54" s="53"/>
      <c r="AC54" s="53">
        <f>Z54</f>
        <v>437097</v>
      </c>
      <c r="AD54" s="53">
        <f t="shared" si="3"/>
        <v>0</v>
      </c>
      <c r="AE54" s="53">
        <f t="shared" si="4"/>
        <v>0</v>
      </c>
      <c r="AF54" s="99"/>
      <c r="AG54" s="99">
        <v>437097</v>
      </c>
      <c r="AH54" s="100"/>
      <c r="AI54" s="100"/>
      <c r="AJ54" s="100"/>
      <c r="AK54" s="27">
        <f t="shared" si="13"/>
        <v>0</v>
      </c>
      <c r="AL54" s="87" t="s">
        <v>41</v>
      </c>
      <c r="AM54" s="24"/>
    </row>
    <row r="55" spans="1:39" s="6" customFormat="1" ht="15.75">
      <c r="A55" s="1"/>
      <c r="B55" s="2"/>
      <c r="C55" s="7"/>
      <c r="D55" s="18"/>
      <c r="E55" s="3" t="s">
        <v>41</v>
      </c>
      <c r="F55" s="3" t="s">
        <v>41</v>
      </c>
      <c r="G55" s="3"/>
      <c r="H55" s="101" t="s">
        <v>41</v>
      </c>
      <c r="I55" s="5" t="s">
        <v>41</v>
      </c>
      <c r="J55" s="56">
        <f>SUM(J49:J54)</f>
        <v>1336022</v>
      </c>
      <c r="K55" s="56">
        <f aca="true" t="shared" si="14" ref="K55:R55">SUM(K49:K54)</f>
        <v>0</v>
      </c>
      <c r="L55" s="56">
        <f t="shared" si="14"/>
        <v>1260207</v>
      </c>
      <c r="M55" s="56">
        <f t="shared" si="14"/>
        <v>0</v>
      </c>
      <c r="N55" s="56">
        <f t="shared" si="14"/>
        <v>1465604</v>
      </c>
      <c r="O55" s="54">
        <f t="shared" si="1"/>
        <v>129582</v>
      </c>
      <c r="P55" s="56">
        <f t="shared" si="14"/>
        <v>0</v>
      </c>
      <c r="Q55" s="56">
        <f t="shared" si="14"/>
        <v>905851.23</v>
      </c>
      <c r="R55" s="56">
        <f t="shared" si="14"/>
        <v>1492515</v>
      </c>
      <c r="S55" s="56">
        <f aca="true" t="shared" si="15" ref="S55:AK55">SUM(S49:S54)</f>
        <v>1486022</v>
      </c>
      <c r="T55" s="56">
        <f t="shared" si="15"/>
        <v>20418</v>
      </c>
      <c r="U55" s="56">
        <f t="shared" si="15"/>
        <v>0.31699743158921256</v>
      </c>
      <c r="V55" s="56">
        <f t="shared" si="15"/>
        <v>0</v>
      </c>
      <c r="W55" s="56">
        <f t="shared" si="15"/>
        <v>0</v>
      </c>
      <c r="X55" s="56">
        <f t="shared" si="15"/>
        <v>0</v>
      </c>
      <c r="Y55" s="56">
        <f t="shared" si="15"/>
        <v>-6493</v>
      </c>
      <c r="Z55" s="56">
        <f t="shared" si="15"/>
        <v>1486022</v>
      </c>
      <c r="AA55" s="56">
        <f>SUM(AA49:AA54)</f>
        <v>0</v>
      </c>
      <c r="AB55" s="56">
        <f>SUM(AB49:AB54)</f>
        <v>0</v>
      </c>
      <c r="AC55" s="56">
        <f>SUM(AC46:AC54)</f>
        <v>1472373</v>
      </c>
      <c r="AD55" s="53">
        <f t="shared" si="3"/>
        <v>-13649</v>
      </c>
      <c r="AE55" s="205">
        <f t="shared" si="4"/>
        <v>136351</v>
      </c>
      <c r="AF55" s="55">
        <f t="shared" si="15"/>
        <v>7750</v>
      </c>
      <c r="AG55" s="55">
        <f t="shared" si="15"/>
        <v>449765</v>
      </c>
      <c r="AH55" s="55">
        <f>SUM(AH49:AH54)</f>
        <v>0</v>
      </c>
      <c r="AI55" s="55">
        <f>SUM(AI49:AI54)</f>
        <v>0</v>
      </c>
      <c r="AJ55" s="35"/>
      <c r="AK55" s="35">
        <f t="shared" si="15"/>
        <v>20418</v>
      </c>
      <c r="AL55" s="204">
        <f t="shared" si="6"/>
        <v>0.1020574511497565</v>
      </c>
      <c r="AM55" s="24"/>
    </row>
    <row r="56" spans="1:39" s="6" customFormat="1" ht="15.75">
      <c r="A56" s="1"/>
      <c r="B56" s="2"/>
      <c r="C56" s="7"/>
      <c r="D56" s="18"/>
      <c r="E56" s="3"/>
      <c r="F56" s="3"/>
      <c r="G56" s="3"/>
      <c r="H56" s="101"/>
      <c r="I56" s="5"/>
      <c r="J56" s="54"/>
      <c r="K56" s="85"/>
      <c r="L56" s="8"/>
      <c r="M56" s="54"/>
      <c r="N56" s="54"/>
      <c r="O56" s="54">
        <f t="shared" si="1"/>
        <v>0</v>
      </c>
      <c r="P56" s="33"/>
      <c r="Q56" s="33"/>
      <c r="R56" s="33"/>
      <c r="S56" s="33"/>
      <c r="T56" s="96"/>
      <c r="U56" s="97"/>
      <c r="V56" s="21"/>
      <c r="W56" s="21"/>
      <c r="X56" s="19"/>
      <c r="Y56" s="19"/>
      <c r="Z56" s="53"/>
      <c r="AA56" s="98"/>
      <c r="AB56" s="53"/>
      <c r="AC56" s="53" t="s">
        <v>41</v>
      </c>
      <c r="AD56" s="53" t="e">
        <f t="shared" si="3"/>
        <v>#VALUE!</v>
      </c>
      <c r="AE56" s="53" t="s">
        <v>41</v>
      </c>
      <c r="AF56" s="99"/>
      <c r="AG56" s="99"/>
      <c r="AH56" s="100"/>
      <c r="AI56" s="100"/>
      <c r="AJ56" s="100"/>
      <c r="AK56" s="27"/>
      <c r="AL56" s="87" t="s">
        <v>41</v>
      </c>
      <c r="AM56" s="24"/>
    </row>
    <row r="57" spans="1:39" s="6" customFormat="1" ht="15.75">
      <c r="A57" s="1"/>
      <c r="B57" s="2"/>
      <c r="C57" s="18"/>
      <c r="D57" s="18"/>
      <c r="E57" s="3"/>
      <c r="F57" s="3"/>
      <c r="G57" s="3"/>
      <c r="H57" s="101"/>
      <c r="I57" s="5"/>
      <c r="J57" s="54"/>
      <c r="K57" s="85"/>
      <c r="L57" s="8"/>
      <c r="M57" s="54"/>
      <c r="N57" s="54"/>
      <c r="O57" s="54"/>
      <c r="P57" s="33"/>
      <c r="Q57" s="33"/>
      <c r="R57" s="33"/>
      <c r="S57" s="33"/>
      <c r="T57" s="96"/>
      <c r="U57" s="97"/>
      <c r="V57" s="21"/>
      <c r="W57" s="21"/>
      <c r="X57" s="19"/>
      <c r="Y57" s="19"/>
      <c r="Z57" s="53"/>
      <c r="AA57" s="98"/>
      <c r="AB57" s="53"/>
      <c r="AC57" s="53"/>
      <c r="AD57" s="53"/>
      <c r="AE57" s="53"/>
      <c r="AF57" s="99"/>
      <c r="AG57" s="99"/>
      <c r="AH57" s="100"/>
      <c r="AI57" s="100"/>
      <c r="AJ57" s="100"/>
      <c r="AK57" s="27"/>
      <c r="AL57" s="87"/>
      <c r="AM57" s="24"/>
    </row>
    <row r="58" spans="1:39" s="6" customFormat="1" ht="15.75">
      <c r="A58" s="210" t="s">
        <v>130</v>
      </c>
      <c r="B58" s="211"/>
      <c r="C58" s="18"/>
      <c r="D58" s="18"/>
      <c r="E58" s="3" t="s">
        <v>41</v>
      </c>
      <c r="F58" s="3" t="s">
        <v>41</v>
      </c>
      <c r="G58" s="3"/>
      <c r="H58" s="101" t="s">
        <v>41</v>
      </c>
      <c r="I58" s="5" t="s">
        <v>41</v>
      </c>
      <c r="J58" s="54" t="s">
        <v>41</v>
      </c>
      <c r="K58" s="85"/>
      <c r="L58" s="8"/>
      <c r="M58" s="54"/>
      <c r="N58" s="54" t="s">
        <v>41</v>
      </c>
      <c r="O58" s="54" t="e">
        <f t="shared" si="1"/>
        <v>#VALUE!</v>
      </c>
      <c r="P58" s="33"/>
      <c r="Q58" s="33" t="s">
        <v>41</v>
      </c>
      <c r="R58" s="33" t="s">
        <v>41</v>
      </c>
      <c r="S58" s="33" t="s">
        <v>41</v>
      </c>
      <c r="T58" s="96" t="s">
        <v>41</v>
      </c>
      <c r="U58" s="97" t="s">
        <v>41</v>
      </c>
      <c r="V58" s="21"/>
      <c r="W58" s="21"/>
      <c r="X58" s="19" t="str">
        <f>R58</f>
        <v> </v>
      </c>
      <c r="Y58" s="19" t="str">
        <f>S58</f>
        <v> </v>
      </c>
      <c r="Z58" s="53" t="s">
        <v>41</v>
      </c>
      <c r="AA58" s="98"/>
      <c r="AB58" s="53"/>
      <c r="AC58" s="53" t="str">
        <f>Z58</f>
        <v> </v>
      </c>
      <c r="AD58" s="53" t="s">
        <v>41</v>
      </c>
      <c r="AE58" s="53" t="s">
        <v>41</v>
      </c>
      <c r="AF58" s="99"/>
      <c r="AG58" s="99"/>
      <c r="AH58" s="100"/>
      <c r="AI58" s="100"/>
      <c r="AJ58" s="100"/>
      <c r="AK58" s="27"/>
      <c r="AL58" s="87" t="s">
        <v>41</v>
      </c>
      <c r="AM58" s="24"/>
    </row>
    <row r="59" spans="1:39" s="6" customFormat="1" ht="21">
      <c r="A59" s="1">
        <v>510</v>
      </c>
      <c r="B59" s="2" t="s">
        <v>68</v>
      </c>
      <c r="C59" s="7">
        <v>3378446</v>
      </c>
      <c r="D59" s="18"/>
      <c r="E59" s="3">
        <v>3829645</v>
      </c>
      <c r="F59" s="3">
        <v>3275485</v>
      </c>
      <c r="G59" s="3">
        <v>500000</v>
      </c>
      <c r="H59" s="101" t="e">
        <f>#REF!-#REF!</f>
        <v>#REF!</v>
      </c>
      <c r="I59" s="5" t="e">
        <f>#REF!-F59-G59-#REF!</f>
        <v>#REF!</v>
      </c>
      <c r="J59" s="54">
        <f>2955382+504845</f>
        <v>3460227</v>
      </c>
      <c r="K59" s="85"/>
      <c r="L59" s="8">
        <v>3403573</v>
      </c>
      <c r="M59" s="54">
        <v>0</v>
      </c>
      <c r="N59" s="54">
        <v>3488662</v>
      </c>
      <c r="O59" s="54">
        <f t="shared" si="1"/>
        <v>28435</v>
      </c>
      <c r="P59" s="33"/>
      <c r="Q59" s="33">
        <v>3234570.22</v>
      </c>
      <c r="R59" s="33">
        <f>N59*1.015</f>
        <v>3540991.9299999997</v>
      </c>
      <c r="S59" s="33">
        <v>3540992</v>
      </c>
      <c r="T59" s="96">
        <f>S59-N59</f>
        <v>52330</v>
      </c>
      <c r="U59" s="97">
        <f>R59/N59-1</f>
        <v>0.014999999999999902</v>
      </c>
      <c r="V59" s="21" t="s">
        <v>110</v>
      </c>
      <c r="W59" s="21"/>
      <c r="X59" s="19">
        <v>0</v>
      </c>
      <c r="Y59" s="19">
        <v>0</v>
      </c>
      <c r="Z59" s="53">
        <v>3460227</v>
      </c>
      <c r="AA59" s="98"/>
      <c r="AB59" s="53"/>
      <c r="AC59" s="53">
        <f>2999713+354008</f>
        <v>3353721</v>
      </c>
      <c r="AD59" s="53">
        <f t="shared" si="3"/>
        <v>-106506</v>
      </c>
      <c r="AE59" s="53">
        <f t="shared" si="4"/>
        <v>-106506</v>
      </c>
      <c r="AF59" s="99"/>
      <c r="AG59" s="99">
        <f>Z59-N59</f>
        <v>-28435</v>
      </c>
      <c r="AH59" s="100"/>
      <c r="AI59" s="100"/>
      <c r="AJ59" s="100"/>
      <c r="AK59" s="27">
        <f>Z59-N59</f>
        <v>-28435</v>
      </c>
      <c r="AL59" s="87">
        <f t="shared" si="6"/>
        <v>-0.03078006153931523</v>
      </c>
      <c r="AM59" s="24"/>
    </row>
    <row r="60" spans="1:39" s="6" customFormat="1" ht="21">
      <c r="A60" s="1">
        <v>511</v>
      </c>
      <c r="B60" s="2" t="s">
        <v>85</v>
      </c>
      <c r="C60" s="7">
        <v>548055</v>
      </c>
      <c r="D60" s="18"/>
      <c r="E60" s="3">
        <v>603326</v>
      </c>
      <c r="F60" s="3">
        <v>1175800</v>
      </c>
      <c r="G60" s="3">
        <v>0</v>
      </c>
      <c r="H60" s="101" t="e">
        <f>#REF!-#REF!</f>
        <v>#REF!</v>
      </c>
      <c r="I60" s="5" t="e">
        <f>#REF!-F60-G60-#REF!</f>
        <v>#REF!</v>
      </c>
      <c r="J60" s="54">
        <v>1223273</v>
      </c>
      <c r="K60" s="85"/>
      <c r="L60" s="8">
        <v>1175800</v>
      </c>
      <c r="M60" s="54">
        <v>0</v>
      </c>
      <c r="N60" s="54">
        <v>1205195</v>
      </c>
      <c r="O60" s="54">
        <f t="shared" si="1"/>
        <v>-18078</v>
      </c>
      <c r="P60" s="33"/>
      <c r="Q60" s="33">
        <v>31171.32</v>
      </c>
      <c r="R60" s="33">
        <f>N60*1.015</f>
        <v>1223272.9249999998</v>
      </c>
      <c r="S60" s="33">
        <v>1223273</v>
      </c>
      <c r="T60" s="96">
        <f>S60-N60</f>
        <v>18078</v>
      </c>
      <c r="U60" s="97">
        <f>R60/N60-1</f>
        <v>0.014999999999999902</v>
      </c>
      <c r="V60" s="21" t="s">
        <v>110</v>
      </c>
      <c r="W60" s="21"/>
      <c r="X60" s="19">
        <v>0</v>
      </c>
      <c r="Y60" s="19">
        <v>0</v>
      </c>
      <c r="Z60" s="53">
        <v>1223273</v>
      </c>
      <c r="AA60" s="98"/>
      <c r="AB60" s="53"/>
      <c r="AC60" s="53">
        <v>1241622</v>
      </c>
      <c r="AD60" s="53">
        <f t="shared" si="3"/>
        <v>18349</v>
      </c>
      <c r="AE60" s="53">
        <f t="shared" si="4"/>
        <v>18349</v>
      </c>
      <c r="AF60" s="99"/>
      <c r="AG60" s="99">
        <v>18078</v>
      </c>
      <c r="AH60" s="100"/>
      <c r="AI60" s="100"/>
      <c r="AJ60" s="100"/>
      <c r="AK60" s="27">
        <f>Z60-N60</f>
        <v>18078</v>
      </c>
      <c r="AL60" s="87">
        <f t="shared" si="6"/>
        <v>0.014999922339494098</v>
      </c>
      <c r="AM60" s="24"/>
    </row>
    <row r="61" spans="1:39" s="6" customFormat="1" ht="21">
      <c r="A61" s="1">
        <v>512</v>
      </c>
      <c r="B61" s="2" t="s">
        <v>149</v>
      </c>
      <c r="C61" s="7">
        <v>1653147</v>
      </c>
      <c r="D61" s="18"/>
      <c r="E61" s="3">
        <v>1333867</v>
      </c>
      <c r="F61" s="3">
        <v>1446035</v>
      </c>
      <c r="G61" s="3">
        <v>0</v>
      </c>
      <c r="H61" s="101" t="e">
        <f>#REF!-#REF!</f>
        <v>#REF!</v>
      </c>
      <c r="I61" s="5" t="e">
        <f>#REF!-F61-G61-#REF!</f>
        <v>#REF!</v>
      </c>
      <c r="J61" s="54">
        <v>1442832</v>
      </c>
      <c r="K61" s="85"/>
      <c r="L61" s="8">
        <v>1386838</v>
      </c>
      <c r="M61" s="54">
        <v>0</v>
      </c>
      <c r="N61" s="54">
        <v>1421509</v>
      </c>
      <c r="O61" s="54">
        <f t="shared" si="1"/>
        <v>-21323</v>
      </c>
      <c r="P61" s="33"/>
      <c r="Q61" s="33">
        <v>180602.45</v>
      </c>
      <c r="R61" s="33">
        <f>N61*1.015</f>
        <v>1442831.6349999998</v>
      </c>
      <c r="S61" s="33">
        <v>1442832</v>
      </c>
      <c r="T61" s="96">
        <f>S61-N61</f>
        <v>21323</v>
      </c>
      <c r="U61" s="97">
        <f>R61/N61-1</f>
        <v>0.014999999999999902</v>
      </c>
      <c r="V61" s="21" t="s">
        <v>110</v>
      </c>
      <c r="W61" s="21"/>
      <c r="X61" s="19">
        <v>0</v>
      </c>
      <c r="Y61" s="19">
        <v>0</v>
      </c>
      <c r="Z61" s="53">
        <v>1442832</v>
      </c>
      <c r="AA61" s="98"/>
      <c r="AB61" s="53"/>
      <c r="AC61" s="53">
        <v>1464474</v>
      </c>
      <c r="AD61" s="53">
        <f t="shared" si="3"/>
        <v>21642</v>
      </c>
      <c r="AE61" s="53">
        <f t="shared" si="4"/>
        <v>21642</v>
      </c>
      <c r="AF61" s="99"/>
      <c r="AG61" s="99">
        <v>21323</v>
      </c>
      <c r="AH61" s="100"/>
      <c r="AI61" s="100"/>
      <c r="AJ61" s="100"/>
      <c r="AK61" s="27">
        <f>Z61-N61</f>
        <v>21323</v>
      </c>
      <c r="AL61" s="87">
        <f t="shared" si="6"/>
        <v>0.014999667320935384</v>
      </c>
      <c r="AM61" s="24"/>
    </row>
    <row r="62" spans="1:39" s="6" customFormat="1" ht="21">
      <c r="A62" s="1">
        <v>513</v>
      </c>
      <c r="B62" s="2" t="s">
        <v>95</v>
      </c>
      <c r="C62" s="7">
        <v>900498</v>
      </c>
      <c r="D62" s="18"/>
      <c r="E62" s="3">
        <v>852916</v>
      </c>
      <c r="F62" s="3">
        <v>950499</v>
      </c>
      <c r="G62" s="3">
        <v>46000</v>
      </c>
      <c r="H62" s="101" t="e">
        <f>#REF!-#REF!</f>
        <v>#REF!</v>
      </c>
      <c r="I62" s="5" t="e">
        <f>#REF!-F62-G62-#REF!</f>
        <v>#REF!</v>
      </c>
      <c r="J62" s="54">
        <v>984283</v>
      </c>
      <c r="K62" s="85"/>
      <c r="L62" s="8">
        <v>946085</v>
      </c>
      <c r="M62" s="54">
        <v>0</v>
      </c>
      <c r="N62" s="54">
        <v>969737</v>
      </c>
      <c r="O62" s="54">
        <f t="shared" si="1"/>
        <v>-14546</v>
      </c>
      <c r="P62" s="33"/>
      <c r="Q62" s="33">
        <v>425574.27</v>
      </c>
      <c r="R62" s="33">
        <f>N62*1.015</f>
        <v>984283.0549999999</v>
      </c>
      <c r="S62" s="33">
        <v>984283</v>
      </c>
      <c r="T62" s="96">
        <f>S62-N62</f>
        <v>14546</v>
      </c>
      <c r="U62" s="97">
        <f>R62/N62-1</f>
        <v>0.014999999999999902</v>
      </c>
      <c r="V62" s="21" t="s">
        <v>110</v>
      </c>
      <c r="W62" s="21"/>
      <c r="X62" s="19">
        <v>0</v>
      </c>
      <c r="Y62" s="19">
        <v>0</v>
      </c>
      <c r="Z62" s="53">
        <v>984283</v>
      </c>
      <c r="AA62" s="98"/>
      <c r="AB62" s="53"/>
      <c r="AC62" s="53">
        <v>999047</v>
      </c>
      <c r="AD62" s="53">
        <f t="shared" si="3"/>
        <v>14764</v>
      </c>
      <c r="AE62" s="53">
        <f t="shared" si="4"/>
        <v>14764</v>
      </c>
      <c r="AF62" s="99"/>
      <c r="AG62" s="99">
        <v>14546</v>
      </c>
      <c r="AH62" s="100"/>
      <c r="AI62" s="100"/>
      <c r="AJ62" s="100"/>
      <c r="AK62" s="27">
        <f>Z62-N62</f>
        <v>14546</v>
      </c>
      <c r="AL62" s="87">
        <f t="shared" si="6"/>
        <v>0.01499975108784768</v>
      </c>
      <c r="AM62" s="24"/>
    </row>
    <row r="63" spans="1:39" s="6" customFormat="1" ht="21">
      <c r="A63" s="1">
        <v>518</v>
      </c>
      <c r="B63" s="2" t="s">
        <v>64</v>
      </c>
      <c r="C63" s="7">
        <v>115000</v>
      </c>
      <c r="D63" s="18"/>
      <c r="E63" s="3">
        <v>117260</v>
      </c>
      <c r="F63" s="3">
        <v>111451</v>
      </c>
      <c r="G63" s="3">
        <v>116322</v>
      </c>
      <c r="H63" s="101" t="e">
        <f>#REF!-#REF!</f>
        <v>#REF!</v>
      </c>
      <c r="I63" s="5" t="e">
        <f>#REF!-F63-G63-#REF!</f>
        <v>#REF!</v>
      </c>
      <c r="J63" s="54">
        <v>125701</v>
      </c>
      <c r="K63" s="85"/>
      <c r="L63" s="8">
        <v>120822</v>
      </c>
      <c r="M63" s="54"/>
      <c r="N63" s="54">
        <v>123843</v>
      </c>
      <c r="O63" s="54">
        <f t="shared" si="1"/>
        <v>-1858</v>
      </c>
      <c r="P63" s="33"/>
      <c r="Q63" s="33">
        <v>51122</v>
      </c>
      <c r="R63" s="33">
        <f>N63*1.015</f>
        <v>125700.64499999999</v>
      </c>
      <c r="S63" s="33">
        <v>125701</v>
      </c>
      <c r="T63" s="111">
        <f>S63-N63</f>
        <v>1858</v>
      </c>
      <c r="U63" s="97">
        <f>R63/N63-1</f>
        <v>0.014999999999999902</v>
      </c>
      <c r="V63" s="21" t="s">
        <v>110</v>
      </c>
      <c r="W63" s="21"/>
      <c r="X63" s="19">
        <v>0</v>
      </c>
      <c r="Y63" s="19">
        <v>0</v>
      </c>
      <c r="Z63" s="53">
        <v>125701</v>
      </c>
      <c r="AA63" s="98"/>
      <c r="AB63" s="53"/>
      <c r="AC63" s="53">
        <v>130000</v>
      </c>
      <c r="AD63" s="53">
        <f t="shared" si="3"/>
        <v>4299</v>
      </c>
      <c r="AE63" s="53">
        <f t="shared" si="4"/>
        <v>4299</v>
      </c>
      <c r="AF63" s="99"/>
      <c r="AG63" s="99">
        <v>1858</v>
      </c>
      <c r="AH63" s="100"/>
      <c r="AI63" s="100"/>
      <c r="AJ63" s="100"/>
      <c r="AK63" s="27">
        <f>Z63-N63</f>
        <v>1858</v>
      </c>
      <c r="AL63" s="87">
        <f t="shared" si="6"/>
        <v>0.03420020524896383</v>
      </c>
      <c r="AM63" s="24"/>
    </row>
    <row r="64" spans="1:39" s="6" customFormat="1" ht="15.75">
      <c r="A64" s="1"/>
      <c r="B64" s="2"/>
      <c r="C64" s="10">
        <f>SUM(C59:C63)</f>
        <v>6595146</v>
      </c>
      <c r="D64" s="10">
        <f>SUM(D59:D63)</f>
        <v>0</v>
      </c>
      <c r="E64" s="10">
        <f>SUM(E59:E63)</f>
        <v>6737014</v>
      </c>
      <c r="F64" s="10">
        <f>SUM(F59:F63)</f>
        <v>6959270</v>
      </c>
      <c r="G64" s="10">
        <f>SUM(G59:G63)</f>
        <v>662322</v>
      </c>
      <c r="H64" s="101" t="e">
        <f>#REF!-#REF!</f>
        <v>#REF!</v>
      </c>
      <c r="I64" s="5" t="e">
        <f>#REF!-F64-G64-#REF!</f>
        <v>#REF!</v>
      </c>
      <c r="J64" s="11">
        <f>SUM(J59:J63)</f>
        <v>7236316</v>
      </c>
      <c r="K64" s="11">
        <f aca="true" t="shared" si="16" ref="K64:AM64">SUM(K59:K63)</f>
        <v>0</v>
      </c>
      <c r="L64" s="11">
        <f t="shared" si="16"/>
        <v>7033118</v>
      </c>
      <c r="M64" s="11">
        <f t="shared" si="16"/>
        <v>0</v>
      </c>
      <c r="N64" s="11">
        <f t="shared" si="16"/>
        <v>7208946</v>
      </c>
      <c r="O64" s="54">
        <f t="shared" si="1"/>
        <v>-27370</v>
      </c>
      <c r="P64" s="58">
        <f t="shared" si="16"/>
        <v>0</v>
      </c>
      <c r="Q64" s="58">
        <f t="shared" si="16"/>
        <v>3923040.2600000002</v>
      </c>
      <c r="R64" s="58">
        <f t="shared" si="16"/>
        <v>7317080.189999999</v>
      </c>
      <c r="S64" s="58">
        <f t="shared" si="16"/>
        <v>7317081</v>
      </c>
      <c r="T64" s="58">
        <f t="shared" si="16"/>
        <v>108135</v>
      </c>
      <c r="U64" s="58">
        <f t="shared" si="16"/>
        <v>0.07499999999999951</v>
      </c>
      <c r="V64" s="58">
        <f t="shared" si="16"/>
        <v>0</v>
      </c>
      <c r="W64" s="58">
        <f t="shared" si="16"/>
        <v>0</v>
      </c>
      <c r="X64" s="58">
        <f t="shared" si="16"/>
        <v>0</v>
      </c>
      <c r="Y64" s="58">
        <f t="shared" si="16"/>
        <v>0</v>
      </c>
      <c r="Z64" s="58">
        <f t="shared" si="16"/>
        <v>7236316</v>
      </c>
      <c r="AA64" s="58">
        <f>SUM(AA59:AA63)</f>
        <v>0</v>
      </c>
      <c r="AB64" s="58">
        <f>SUM(AB59:AB63)</f>
        <v>0</v>
      </c>
      <c r="AC64" s="58">
        <f>SUM(AC59:AC63)</f>
        <v>7188864</v>
      </c>
      <c r="AD64" s="27">
        <f t="shared" si="3"/>
        <v>-47452</v>
      </c>
      <c r="AE64" s="158">
        <f t="shared" si="4"/>
        <v>-47452</v>
      </c>
      <c r="AF64" s="110">
        <f t="shared" si="16"/>
        <v>0</v>
      </c>
      <c r="AG64" s="110">
        <f t="shared" si="16"/>
        <v>27370</v>
      </c>
      <c r="AH64" s="110">
        <f>SUM(AH59:AH63)</f>
        <v>0</v>
      </c>
      <c r="AI64" s="110">
        <f>SUM(AI59:AI63)</f>
        <v>0</v>
      </c>
      <c r="AJ64" s="23"/>
      <c r="AK64" s="23">
        <f>SUM(AK59:AK63)</f>
        <v>27370</v>
      </c>
      <c r="AL64" s="159">
        <f t="shared" si="6"/>
        <v>-0.006557480353262646</v>
      </c>
      <c r="AM64" s="58">
        <f t="shared" si="16"/>
        <v>0</v>
      </c>
    </row>
    <row r="65" spans="1:39" s="6" customFormat="1" ht="15.75">
      <c r="A65" s="1"/>
      <c r="B65" s="2"/>
      <c r="C65" s="7"/>
      <c r="D65" s="18"/>
      <c r="E65" s="3" t="s">
        <v>41</v>
      </c>
      <c r="F65" s="3" t="s">
        <v>41</v>
      </c>
      <c r="G65" s="3"/>
      <c r="H65" s="101" t="s">
        <v>41</v>
      </c>
      <c r="I65" s="5" t="s">
        <v>41</v>
      </c>
      <c r="J65" s="54" t="s">
        <v>41</v>
      </c>
      <c r="K65" s="85"/>
      <c r="L65" s="8"/>
      <c r="M65" s="54"/>
      <c r="N65" s="54" t="s">
        <v>41</v>
      </c>
      <c r="O65" s="54" t="e">
        <f t="shared" si="1"/>
        <v>#VALUE!</v>
      </c>
      <c r="P65" s="33"/>
      <c r="Q65" s="33" t="s">
        <v>41</v>
      </c>
      <c r="R65" s="33" t="s">
        <v>41</v>
      </c>
      <c r="S65" s="33" t="s">
        <v>41</v>
      </c>
      <c r="T65" s="96" t="s">
        <v>41</v>
      </c>
      <c r="U65" s="97" t="s">
        <v>41</v>
      </c>
      <c r="V65" s="21"/>
      <c r="W65" s="21"/>
      <c r="X65" s="19" t="str">
        <f>R65</f>
        <v> </v>
      </c>
      <c r="Y65" s="19" t="str">
        <f>S65</f>
        <v> </v>
      </c>
      <c r="Z65" s="53" t="s">
        <v>41</v>
      </c>
      <c r="AA65" s="98"/>
      <c r="AB65" s="53"/>
      <c r="AC65" s="53" t="str">
        <f>Z65</f>
        <v> </v>
      </c>
      <c r="AD65" s="53" t="s">
        <v>41</v>
      </c>
      <c r="AE65" s="53" t="s">
        <v>41</v>
      </c>
      <c r="AF65" s="99"/>
      <c r="AG65" s="99"/>
      <c r="AH65" s="100"/>
      <c r="AI65" s="100"/>
      <c r="AJ65" s="100"/>
      <c r="AK65" s="27"/>
      <c r="AL65" s="87" t="s">
        <v>41</v>
      </c>
      <c r="AM65" s="24"/>
    </row>
    <row r="66" spans="1:39" s="6" customFormat="1" ht="15.75">
      <c r="A66" s="1"/>
      <c r="B66" s="2"/>
      <c r="C66" s="7"/>
      <c r="D66" s="18"/>
      <c r="E66" s="3"/>
      <c r="F66" s="3"/>
      <c r="G66" s="3"/>
      <c r="H66" s="101" t="s">
        <v>41</v>
      </c>
      <c r="I66" s="5" t="s">
        <v>41</v>
      </c>
      <c r="J66" s="54" t="s">
        <v>41</v>
      </c>
      <c r="K66" s="85"/>
      <c r="L66" s="8"/>
      <c r="M66" s="54"/>
      <c r="N66" s="54" t="s">
        <v>41</v>
      </c>
      <c r="O66" s="54" t="e">
        <f t="shared" si="1"/>
        <v>#VALUE!</v>
      </c>
      <c r="P66" s="33"/>
      <c r="Q66" s="33"/>
      <c r="R66" s="33" t="s">
        <v>41</v>
      </c>
      <c r="S66" s="33" t="s">
        <v>41</v>
      </c>
      <c r="T66" s="96" t="s">
        <v>41</v>
      </c>
      <c r="U66" s="97" t="s">
        <v>41</v>
      </c>
      <c r="V66" s="21"/>
      <c r="W66" s="21"/>
      <c r="X66" s="19" t="str">
        <f>R66</f>
        <v> </v>
      </c>
      <c r="Y66" s="19" t="str">
        <f>S66</f>
        <v> </v>
      </c>
      <c r="Z66" s="53" t="s">
        <v>41</v>
      </c>
      <c r="AA66" s="98"/>
      <c r="AB66" s="53"/>
      <c r="AC66" s="53" t="str">
        <f>Z66</f>
        <v> </v>
      </c>
      <c r="AD66" s="53" t="s">
        <v>41</v>
      </c>
      <c r="AE66" s="53" t="s">
        <v>41</v>
      </c>
      <c r="AF66" s="99"/>
      <c r="AG66" s="99"/>
      <c r="AH66" s="100"/>
      <c r="AI66" s="100"/>
      <c r="AJ66" s="100"/>
      <c r="AK66" s="27"/>
      <c r="AL66" s="87" t="s">
        <v>41</v>
      </c>
      <c r="AM66" s="24"/>
    </row>
    <row r="67" spans="1:39" s="6" customFormat="1" ht="21">
      <c r="A67" s="1">
        <v>521</v>
      </c>
      <c r="B67" s="2" t="s">
        <v>38</v>
      </c>
      <c r="C67" s="7">
        <v>600000</v>
      </c>
      <c r="D67" s="18"/>
      <c r="E67" s="3">
        <v>666396</v>
      </c>
      <c r="F67" s="3">
        <v>706955</v>
      </c>
      <c r="G67" s="3">
        <v>66000</v>
      </c>
      <c r="H67" s="101" t="e">
        <f>#REF!-#REF!</f>
        <v>#REF!</v>
      </c>
      <c r="I67" s="5" t="e">
        <f>#REF!-F67-G67-#REF!</f>
        <v>#REF!</v>
      </c>
      <c r="J67" s="54">
        <v>775000</v>
      </c>
      <c r="K67" s="85"/>
      <c r="L67" s="8">
        <v>615000</v>
      </c>
      <c r="M67" s="54">
        <v>0</v>
      </c>
      <c r="N67" s="54">
        <v>615000</v>
      </c>
      <c r="O67" s="54">
        <f t="shared" si="1"/>
        <v>-160000</v>
      </c>
      <c r="P67" s="33"/>
      <c r="Q67" s="33">
        <v>405264.2</v>
      </c>
      <c r="R67" s="33">
        <v>715000</v>
      </c>
      <c r="S67" s="33">
        <v>715000</v>
      </c>
      <c r="T67" s="96">
        <f>S67-N67</f>
        <v>100000</v>
      </c>
      <c r="U67" s="97">
        <f>S67/N67-1</f>
        <v>0.16260162601626016</v>
      </c>
      <c r="V67" s="21" t="s">
        <v>111</v>
      </c>
      <c r="W67" s="21"/>
      <c r="X67" s="19">
        <v>0</v>
      </c>
      <c r="Y67" s="19">
        <v>0</v>
      </c>
      <c r="Z67" s="53">
        <v>715000</v>
      </c>
      <c r="AA67" s="98"/>
      <c r="AB67" s="53"/>
      <c r="AC67" s="53">
        <v>813750</v>
      </c>
      <c r="AD67" s="53">
        <f t="shared" si="3"/>
        <v>98750</v>
      </c>
      <c r="AE67" s="53">
        <f t="shared" si="4"/>
        <v>38750</v>
      </c>
      <c r="AF67" s="99"/>
      <c r="AG67" s="99">
        <v>100000</v>
      </c>
      <c r="AH67" s="100"/>
      <c r="AI67" s="100"/>
      <c r="AJ67" s="100"/>
      <c r="AK67" s="27">
        <f>Z67-N67</f>
        <v>100000</v>
      </c>
      <c r="AL67" s="87">
        <f t="shared" si="6"/>
        <v>0.050000000000000044</v>
      </c>
      <c r="AM67" s="24"/>
    </row>
    <row r="68" spans="1:39" s="6" customFormat="1" ht="15.75">
      <c r="A68" s="1">
        <v>531</v>
      </c>
      <c r="B68" s="2" t="s">
        <v>66</v>
      </c>
      <c r="C68" s="7">
        <v>186000</v>
      </c>
      <c r="D68" s="18"/>
      <c r="E68" s="3">
        <v>168548</v>
      </c>
      <c r="F68" s="3">
        <v>152828</v>
      </c>
      <c r="G68" s="3">
        <v>161010.37</v>
      </c>
      <c r="H68" s="101" t="e">
        <f>#REF!-#REF!</f>
        <v>#REF!</v>
      </c>
      <c r="I68" s="5" t="e">
        <f>#REF!-F68-G68-#REF!</f>
        <v>#REF!</v>
      </c>
      <c r="J68" s="54">
        <v>193000</v>
      </c>
      <c r="K68" s="85"/>
      <c r="L68" s="8">
        <v>193000</v>
      </c>
      <c r="M68" s="54"/>
      <c r="N68" s="54">
        <f>L68+M68</f>
        <v>193000</v>
      </c>
      <c r="O68" s="54">
        <f t="shared" si="1"/>
        <v>0</v>
      </c>
      <c r="P68" s="33"/>
      <c r="Q68" s="33">
        <v>82213.75</v>
      </c>
      <c r="R68" s="33">
        <v>193000</v>
      </c>
      <c r="S68" s="33">
        <v>193000</v>
      </c>
      <c r="T68" s="96">
        <f>S68-N68</f>
        <v>0</v>
      </c>
      <c r="U68" s="97">
        <f>S68/N68-1</f>
        <v>0</v>
      </c>
      <c r="V68" s="21"/>
      <c r="W68" s="21"/>
      <c r="X68" s="19">
        <v>0</v>
      </c>
      <c r="Y68" s="19">
        <v>0</v>
      </c>
      <c r="Z68" s="53">
        <v>193000</v>
      </c>
      <c r="AA68" s="98"/>
      <c r="AB68" s="53"/>
      <c r="AC68" s="53">
        <f>Z68</f>
        <v>193000</v>
      </c>
      <c r="AD68" s="53">
        <f t="shared" si="3"/>
        <v>0</v>
      </c>
      <c r="AE68" s="53">
        <f t="shared" si="4"/>
        <v>0</v>
      </c>
      <c r="AF68" s="99"/>
      <c r="AG68" s="99"/>
      <c r="AH68" s="100"/>
      <c r="AI68" s="100"/>
      <c r="AJ68" s="100"/>
      <c r="AK68" s="27">
        <f>Z68-N68</f>
        <v>0</v>
      </c>
      <c r="AL68" s="87">
        <f t="shared" si="6"/>
        <v>0</v>
      </c>
      <c r="AM68" s="24"/>
    </row>
    <row r="69" spans="1:39" s="6" customFormat="1" ht="15.75">
      <c r="A69" s="1">
        <v>532</v>
      </c>
      <c r="B69" s="2" t="s">
        <v>39</v>
      </c>
      <c r="C69" s="7">
        <v>41600</v>
      </c>
      <c r="D69" s="18"/>
      <c r="E69" s="3">
        <v>49783</v>
      </c>
      <c r="F69" s="3">
        <v>53736</v>
      </c>
      <c r="G69" s="3">
        <v>11100</v>
      </c>
      <c r="H69" s="101" t="e">
        <f>#REF!-#REF!</f>
        <v>#REF!</v>
      </c>
      <c r="I69" s="5" t="e">
        <f>#REF!-F69-G69-#REF!</f>
        <v>#REF!</v>
      </c>
      <c r="J69" s="54">
        <v>68500</v>
      </c>
      <c r="K69" s="85"/>
      <c r="L69" s="8">
        <v>53500</v>
      </c>
      <c r="M69" s="54">
        <v>0</v>
      </c>
      <c r="N69" s="54">
        <v>68500</v>
      </c>
      <c r="O69" s="54">
        <f t="shared" si="1"/>
        <v>0</v>
      </c>
      <c r="P69" s="33"/>
      <c r="Q69" s="33">
        <v>53040.98</v>
      </c>
      <c r="R69" s="33">
        <v>71700</v>
      </c>
      <c r="S69" s="33">
        <v>71700</v>
      </c>
      <c r="T69" s="96">
        <f>S69-N69</f>
        <v>3200</v>
      </c>
      <c r="U69" s="97">
        <f>S69/N69-1</f>
        <v>0.046715328467153316</v>
      </c>
      <c r="V69" s="21"/>
      <c r="W69" s="21"/>
      <c r="X69" s="19">
        <v>0</v>
      </c>
      <c r="Y69" s="19">
        <v>0</v>
      </c>
      <c r="Z69" s="53">
        <v>71700</v>
      </c>
      <c r="AA69" s="98"/>
      <c r="AB69" s="53"/>
      <c r="AC69" s="53">
        <f>Z69-3200</f>
        <v>68500</v>
      </c>
      <c r="AD69" s="53">
        <f t="shared" si="3"/>
        <v>-3200</v>
      </c>
      <c r="AE69" s="53">
        <f t="shared" si="4"/>
        <v>0</v>
      </c>
      <c r="AF69" s="99">
        <v>0</v>
      </c>
      <c r="AG69" s="99"/>
      <c r="AH69" s="100"/>
      <c r="AI69" s="100"/>
      <c r="AJ69" s="100"/>
      <c r="AK69" s="27">
        <f>Z69-N69</f>
        <v>3200</v>
      </c>
      <c r="AL69" s="87">
        <f t="shared" si="6"/>
        <v>0</v>
      </c>
      <c r="AM69" s="24"/>
    </row>
    <row r="70" spans="1:39" s="6" customFormat="1" ht="15.75">
      <c r="A70" s="1">
        <v>540</v>
      </c>
      <c r="B70" s="2" t="s">
        <v>40</v>
      </c>
      <c r="C70" s="7">
        <v>3000</v>
      </c>
      <c r="D70" s="18"/>
      <c r="E70" s="3">
        <v>937</v>
      </c>
      <c r="F70" s="3">
        <v>1221</v>
      </c>
      <c r="G70" s="3">
        <v>0</v>
      </c>
      <c r="H70" s="101" t="e">
        <f>#REF!-#REF!</f>
        <v>#REF!</v>
      </c>
      <c r="I70" s="5" t="e">
        <f>#REF!-F70-G70-#REF!</f>
        <v>#REF!</v>
      </c>
      <c r="J70" s="54">
        <v>6200</v>
      </c>
      <c r="K70" s="85"/>
      <c r="L70" s="8">
        <v>3000</v>
      </c>
      <c r="M70" s="54"/>
      <c r="N70" s="54">
        <f>L70+M70</f>
        <v>3000</v>
      </c>
      <c r="O70" s="54">
        <f t="shared" si="1"/>
        <v>-3200</v>
      </c>
      <c r="P70" s="33"/>
      <c r="Q70" s="33">
        <v>1189.12</v>
      </c>
      <c r="R70" s="33">
        <v>3000</v>
      </c>
      <c r="S70" s="33">
        <v>3000</v>
      </c>
      <c r="T70" s="96">
        <f>S70-N70</f>
        <v>0</v>
      </c>
      <c r="U70" s="97">
        <f>S70/N70-1</f>
        <v>0</v>
      </c>
      <c r="V70" s="21"/>
      <c r="W70" s="21"/>
      <c r="X70" s="19">
        <v>0</v>
      </c>
      <c r="Y70" s="19">
        <v>0</v>
      </c>
      <c r="Z70" s="53">
        <v>3000</v>
      </c>
      <c r="AA70" s="98"/>
      <c r="AB70" s="53"/>
      <c r="AC70" s="53">
        <f>Z70+3200</f>
        <v>6200</v>
      </c>
      <c r="AD70" s="53">
        <f t="shared" si="3"/>
        <v>3200</v>
      </c>
      <c r="AE70" s="53">
        <f t="shared" si="4"/>
        <v>0</v>
      </c>
      <c r="AF70" s="99">
        <v>3200</v>
      </c>
      <c r="AG70" s="99"/>
      <c r="AH70" s="100"/>
      <c r="AI70" s="100"/>
      <c r="AJ70" s="100"/>
      <c r="AK70" s="27">
        <f>Z70-N70</f>
        <v>0</v>
      </c>
      <c r="AL70" s="87">
        <f t="shared" si="6"/>
        <v>0</v>
      </c>
      <c r="AM70" s="24"/>
    </row>
    <row r="71" spans="1:39" s="6" customFormat="1" ht="15.75">
      <c r="A71" s="1">
        <v>550</v>
      </c>
      <c r="B71" s="2" t="s">
        <v>67</v>
      </c>
      <c r="C71" s="7">
        <v>183100</v>
      </c>
      <c r="D71" s="18"/>
      <c r="E71" s="3">
        <v>76107</v>
      </c>
      <c r="F71" s="3">
        <v>60757</v>
      </c>
      <c r="G71" s="3">
        <v>23596.4</v>
      </c>
      <c r="H71" s="101" t="e">
        <f>#REF!-#REF!</f>
        <v>#REF!</v>
      </c>
      <c r="I71" s="5" t="e">
        <f>#REF!-F71-G71-#REF!</f>
        <v>#REF!</v>
      </c>
      <c r="J71" s="54">
        <v>100100</v>
      </c>
      <c r="K71" s="85"/>
      <c r="L71" s="8">
        <v>103100</v>
      </c>
      <c r="M71" s="54"/>
      <c r="N71" s="54">
        <v>100100</v>
      </c>
      <c r="O71" s="54">
        <f t="shared" si="1"/>
        <v>0</v>
      </c>
      <c r="P71" s="33"/>
      <c r="Q71" s="33">
        <v>64095.66</v>
      </c>
      <c r="R71" s="33">
        <v>122900</v>
      </c>
      <c r="S71" s="33">
        <v>100100</v>
      </c>
      <c r="T71" s="96">
        <f>S71-N71</f>
        <v>0</v>
      </c>
      <c r="U71" s="97">
        <f>S71/N71-1</f>
        <v>0</v>
      </c>
      <c r="V71" s="21"/>
      <c r="W71" s="21"/>
      <c r="X71" s="19">
        <v>0</v>
      </c>
      <c r="Y71" s="19">
        <v>-22800</v>
      </c>
      <c r="Z71" s="53">
        <v>100100</v>
      </c>
      <c r="AA71" s="98"/>
      <c r="AB71" s="53"/>
      <c r="AC71" s="53">
        <v>122800</v>
      </c>
      <c r="AD71" s="53">
        <f t="shared" si="3"/>
        <v>22700</v>
      </c>
      <c r="AE71" s="53">
        <f t="shared" si="4"/>
        <v>22700</v>
      </c>
      <c r="AF71" s="99"/>
      <c r="AG71" s="99"/>
      <c r="AH71" s="100"/>
      <c r="AI71" s="100"/>
      <c r="AJ71" s="100"/>
      <c r="AK71" s="27">
        <f>Z71-N71</f>
        <v>0</v>
      </c>
      <c r="AL71" s="87">
        <f t="shared" si="6"/>
        <v>0.22677322677322675</v>
      </c>
      <c r="AM71" s="24"/>
    </row>
    <row r="72" spans="1:39" s="6" customFormat="1" ht="15.75">
      <c r="A72" s="1"/>
      <c r="B72" s="2"/>
      <c r="C72" s="7"/>
      <c r="D72" s="18"/>
      <c r="E72" s="3"/>
      <c r="F72" s="3"/>
      <c r="G72" s="3"/>
      <c r="H72" s="101" t="s">
        <v>41</v>
      </c>
      <c r="I72" s="5" t="s">
        <v>41</v>
      </c>
      <c r="J72" s="56">
        <f>SUM(J67:J71)</f>
        <v>1142800</v>
      </c>
      <c r="K72" s="56">
        <f aca="true" t="shared" si="17" ref="K72:R72">SUM(K67:K71)</f>
        <v>0</v>
      </c>
      <c r="L72" s="56">
        <f t="shared" si="17"/>
        <v>967600</v>
      </c>
      <c r="M72" s="56">
        <f t="shared" si="17"/>
        <v>0</v>
      </c>
      <c r="N72" s="56">
        <f t="shared" si="17"/>
        <v>979600</v>
      </c>
      <c r="O72" s="54">
        <f t="shared" si="1"/>
        <v>-163200</v>
      </c>
      <c r="P72" s="56">
        <f t="shared" si="17"/>
        <v>0</v>
      </c>
      <c r="Q72" s="56">
        <f t="shared" si="17"/>
        <v>605803.7100000001</v>
      </c>
      <c r="R72" s="56">
        <f t="shared" si="17"/>
        <v>1105600</v>
      </c>
      <c r="S72" s="56">
        <f aca="true" t="shared" si="18" ref="S72:Z72">SUM(S67:S71)</f>
        <v>1082800</v>
      </c>
      <c r="T72" s="56">
        <f t="shared" si="18"/>
        <v>103200</v>
      </c>
      <c r="U72" s="56">
        <f t="shared" si="18"/>
        <v>0.20931695448341348</v>
      </c>
      <c r="V72" s="56">
        <f t="shared" si="18"/>
        <v>0</v>
      </c>
      <c r="W72" s="56">
        <f t="shared" si="18"/>
        <v>0</v>
      </c>
      <c r="X72" s="56">
        <f t="shared" si="18"/>
        <v>0</v>
      </c>
      <c r="Y72" s="56">
        <f t="shared" si="18"/>
        <v>-22800</v>
      </c>
      <c r="Z72" s="56">
        <f t="shared" si="18"/>
        <v>1082800</v>
      </c>
      <c r="AA72" s="56">
        <f>SUM(AA67:AA71)</f>
        <v>0</v>
      </c>
      <c r="AB72" s="56">
        <f>SUM(AB67:AB71)</f>
        <v>0</v>
      </c>
      <c r="AC72" s="56">
        <f>SUM(AC67:AC71)</f>
        <v>1204250</v>
      </c>
      <c r="AD72" s="53">
        <f t="shared" si="3"/>
        <v>121450</v>
      </c>
      <c r="AE72" s="203">
        <f t="shared" si="4"/>
        <v>61450</v>
      </c>
      <c r="AF72" s="26">
        <f>SUM(AF67:AF71)</f>
        <v>3200</v>
      </c>
      <c r="AG72" s="26">
        <f>SUM(AG67:AG71)</f>
        <v>100000</v>
      </c>
      <c r="AH72" s="26">
        <f>SUM(AH67:AH71)</f>
        <v>0</v>
      </c>
      <c r="AI72" s="26">
        <f>SUM(AI67:AI71)</f>
        <v>0</v>
      </c>
      <c r="AJ72" s="35"/>
      <c r="AK72" s="35">
        <f>SUM(AK67:AK71)</f>
        <v>103200</v>
      </c>
      <c r="AL72" s="204">
        <f t="shared" si="6"/>
        <v>0.053771438571928565</v>
      </c>
      <c r="AM72" s="24"/>
    </row>
    <row r="73" spans="1:39" s="6" customFormat="1" ht="15.75">
      <c r="A73" s="1"/>
      <c r="B73" s="2"/>
      <c r="C73" s="7"/>
      <c r="D73" s="18"/>
      <c r="E73" s="3"/>
      <c r="F73" s="3"/>
      <c r="G73" s="3"/>
      <c r="H73" s="101" t="s">
        <v>41</v>
      </c>
      <c r="I73" s="5" t="s">
        <v>41</v>
      </c>
      <c r="J73" s="54" t="s">
        <v>41</v>
      </c>
      <c r="K73" s="85"/>
      <c r="L73" s="8"/>
      <c r="M73" s="54"/>
      <c r="N73" s="54" t="s">
        <v>41</v>
      </c>
      <c r="O73" s="54" t="e">
        <f t="shared" si="1"/>
        <v>#VALUE!</v>
      </c>
      <c r="P73" s="33"/>
      <c r="Q73" s="33"/>
      <c r="R73" s="33" t="s">
        <v>41</v>
      </c>
      <c r="S73" s="33" t="s">
        <v>41</v>
      </c>
      <c r="T73" s="96" t="s">
        <v>41</v>
      </c>
      <c r="U73" s="97" t="s">
        <v>41</v>
      </c>
      <c r="V73" s="21"/>
      <c r="W73" s="21"/>
      <c r="X73" s="19" t="str">
        <f>R73</f>
        <v> </v>
      </c>
      <c r="Y73" s="19" t="str">
        <f>S73</f>
        <v> </v>
      </c>
      <c r="Z73" s="53" t="s">
        <v>41</v>
      </c>
      <c r="AA73" s="98"/>
      <c r="AB73" s="53"/>
      <c r="AC73" s="53" t="str">
        <f>Z73</f>
        <v> </v>
      </c>
      <c r="AD73" s="53" t="s">
        <v>41</v>
      </c>
      <c r="AE73" s="53" t="s">
        <v>41</v>
      </c>
      <c r="AF73" s="99"/>
      <c r="AG73" s="99"/>
      <c r="AH73" s="100"/>
      <c r="AI73" s="100"/>
      <c r="AJ73" s="100"/>
      <c r="AK73" s="27"/>
      <c r="AL73" s="87" t="s">
        <v>41</v>
      </c>
      <c r="AM73" s="24"/>
    </row>
    <row r="74" spans="1:39" s="6" customFormat="1" ht="15.75">
      <c r="A74" s="1">
        <v>561</v>
      </c>
      <c r="B74" s="2" t="s">
        <v>69</v>
      </c>
      <c r="C74" s="7">
        <v>1432456</v>
      </c>
      <c r="D74" s="18"/>
      <c r="E74" s="3">
        <v>1400839</v>
      </c>
      <c r="F74" s="3">
        <v>1406710</v>
      </c>
      <c r="G74" s="3">
        <v>0</v>
      </c>
      <c r="H74" s="101" t="e">
        <f>#REF!-#REF!</f>
        <v>#REF!</v>
      </c>
      <c r="I74" s="5" t="e">
        <f>#REF!-F74-G74-#REF!</f>
        <v>#REF!</v>
      </c>
      <c r="J74" s="54">
        <v>1483885</v>
      </c>
      <c r="K74" s="85"/>
      <c r="L74" s="8">
        <v>1469193</v>
      </c>
      <c r="M74" s="54"/>
      <c r="N74" s="54">
        <v>1483885</v>
      </c>
      <c r="O74" s="54">
        <f t="shared" si="1"/>
        <v>0</v>
      </c>
      <c r="P74" s="33"/>
      <c r="Q74" s="33">
        <v>1514376</v>
      </c>
      <c r="R74" s="33">
        <f>N74*1.03</f>
        <v>1528401.55</v>
      </c>
      <c r="S74" s="33">
        <v>1528402</v>
      </c>
      <c r="T74" s="96">
        <f aca="true" t="shared" si="19" ref="T74:T79">S74-N74</f>
        <v>44517</v>
      </c>
      <c r="U74" s="97">
        <f aca="true" t="shared" si="20" ref="U74:U79">S74/N74-1</f>
        <v>0.030000303258001848</v>
      </c>
      <c r="V74" s="21" t="s">
        <v>112</v>
      </c>
      <c r="W74" s="21"/>
      <c r="X74" s="19">
        <v>0</v>
      </c>
      <c r="Y74" s="19">
        <v>0</v>
      </c>
      <c r="Z74" s="53">
        <v>1528402</v>
      </c>
      <c r="AA74" s="98"/>
      <c r="AB74" s="53"/>
      <c r="AC74" s="53">
        <v>1559807.328</v>
      </c>
      <c r="AD74" s="53">
        <f t="shared" si="3"/>
        <v>31405.32799999998</v>
      </c>
      <c r="AE74" s="53">
        <f t="shared" si="4"/>
        <v>75922.32799999998</v>
      </c>
      <c r="AF74" s="99">
        <v>0</v>
      </c>
      <c r="AG74" s="99">
        <v>0</v>
      </c>
      <c r="AH74" s="100"/>
      <c r="AI74" s="100"/>
      <c r="AJ74" s="100"/>
      <c r="AK74" s="27">
        <f aca="true" t="shared" si="21" ref="AK74:AK79">Z74-N74</f>
        <v>44517</v>
      </c>
      <c r="AL74" s="87">
        <f t="shared" si="6"/>
        <v>0.05116456329162977</v>
      </c>
      <c r="AM74" s="24"/>
    </row>
    <row r="75" spans="1:39" s="6" customFormat="1" ht="15.75">
      <c r="A75" s="1">
        <v>561</v>
      </c>
      <c r="B75" s="2" t="s">
        <v>96</v>
      </c>
      <c r="C75" s="7">
        <v>53000</v>
      </c>
      <c r="D75" s="18"/>
      <c r="E75" s="3">
        <v>66456</v>
      </c>
      <c r="F75" s="3">
        <v>71982</v>
      </c>
      <c r="G75" s="3"/>
      <c r="H75" s="101" t="e">
        <f>#REF!-#REF!</f>
        <v>#REF!</v>
      </c>
      <c r="I75" s="5" t="e">
        <f>#REF!-F75-G75-#REF!</f>
        <v>#REF!</v>
      </c>
      <c r="J75" s="54">
        <v>69134</v>
      </c>
      <c r="K75" s="85"/>
      <c r="L75" s="8">
        <v>66456</v>
      </c>
      <c r="M75" s="54"/>
      <c r="N75" s="54">
        <v>67120</v>
      </c>
      <c r="O75" s="54">
        <f t="shared" si="1"/>
        <v>-2014</v>
      </c>
      <c r="P75" s="33"/>
      <c r="Q75" s="33">
        <v>73508</v>
      </c>
      <c r="R75" s="33">
        <f>N75*1.03</f>
        <v>69133.6</v>
      </c>
      <c r="S75" s="33">
        <v>69134</v>
      </c>
      <c r="T75" s="96">
        <f t="shared" si="19"/>
        <v>2014</v>
      </c>
      <c r="U75" s="97">
        <f t="shared" si="20"/>
        <v>0.03000595947556617</v>
      </c>
      <c r="V75" s="21" t="s">
        <v>112</v>
      </c>
      <c r="W75" s="21"/>
      <c r="X75" s="19">
        <v>0</v>
      </c>
      <c r="Y75" s="19">
        <v>0</v>
      </c>
      <c r="Z75" s="53">
        <v>69134</v>
      </c>
      <c r="AA75" s="98"/>
      <c r="AB75" s="53"/>
      <c r="AC75" s="53">
        <v>80166.96</v>
      </c>
      <c r="AD75" s="53">
        <f t="shared" si="3"/>
        <v>11032.960000000006</v>
      </c>
      <c r="AE75" s="53">
        <f t="shared" si="4"/>
        <v>11032.960000000006</v>
      </c>
      <c r="AF75" s="99"/>
      <c r="AG75" s="99">
        <v>2014</v>
      </c>
      <c r="AH75" s="100"/>
      <c r="AI75" s="100"/>
      <c r="AJ75" s="100"/>
      <c r="AK75" s="27">
        <f t="shared" si="21"/>
        <v>2014</v>
      </c>
      <c r="AL75" s="87">
        <f t="shared" si="6"/>
        <v>0.15958804640263846</v>
      </c>
      <c r="AM75" s="24"/>
    </row>
    <row r="76" spans="1:39" s="6" customFormat="1" ht="15.75">
      <c r="A76" s="1">
        <v>561</v>
      </c>
      <c r="B76" s="2" t="s">
        <v>97</v>
      </c>
      <c r="C76" s="7">
        <v>4993329</v>
      </c>
      <c r="D76" s="18"/>
      <c r="E76" s="3">
        <v>4609645</v>
      </c>
      <c r="F76" s="3">
        <v>4809206.53</v>
      </c>
      <c r="G76" s="3">
        <v>0</v>
      </c>
      <c r="H76" s="101" t="e">
        <f>#REF!-#REF!</f>
        <v>#REF!</v>
      </c>
      <c r="I76" s="5" t="e">
        <f>#REF!-F76-G76-#REF!</f>
        <v>#REF!</v>
      </c>
      <c r="J76" s="54">
        <v>5100992</v>
      </c>
      <c r="K76" s="85"/>
      <c r="L76" s="8">
        <v>5075614</v>
      </c>
      <c r="M76" s="54"/>
      <c r="N76" s="54">
        <v>5075614</v>
      </c>
      <c r="O76" s="54">
        <f t="shared" si="1"/>
        <v>-25378</v>
      </c>
      <c r="P76" s="33"/>
      <c r="Q76" s="33">
        <v>1675276.07</v>
      </c>
      <c r="R76" s="33">
        <f>N76*1.025</f>
        <v>5202504.35</v>
      </c>
      <c r="S76" s="33">
        <v>5202504</v>
      </c>
      <c r="T76" s="96">
        <f t="shared" si="19"/>
        <v>126890</v>
      </c>
      <c r="U76" s="97">
        <f t="shared" si="20"/>
        <v>0.024999931042825496</v>
      </c>
      <c r="V76" s="21" t="s">
        <v>113</v>
      </c>
      <c r="W76" s="21"/>
      <c r="X76" s="19">
        <v>0</v>
      </c>
      <c r="Y76" s="19">
        <v>0</v>
      </c>
      <c r="Z76" s="53">
        <v>5202504.4</v>
      </c>
      <c r="AA76" s="98"/>
      <c r="AB76" s="53"/>
      <c r="AC76" s="53">
        <v>5228517</v>
      </c>
      <c r="AD76" s="53">
        <f t="shared" si="3"/>
        <v>26012.599999999627</v>
      </c>
      <c r="AE76" s="53">
        <f aca="true" t="shared" si="22" ref="AE76:AE135">AC76-J76</f>
        <v>127525</v>
      </c>
      <c r="AF76" s="99">
        <v>0</v>
      </c>
      <c r="AG76" s="99">
        <v>25378</v>
      </c>
      <c r="AH76" s="100"/>
      <c r="AI76" s="100"/>
      <c r="AJ76" s="100"/>
      <c r="AK76" s="27">
        <f t="shared" si="21"/>
        <v>126890.40000000037</v>
      </c>
      <c r="AL76" s="87">
        <f t="shared" si="6"/>
        <v>0.02500003920805982</v>
      </c>
      <c r="AM76" s="24"/>
    </row>
    <row r="77" spans="1:39" s="6" customFormat="1" ht="15.75">
      <c r="A77" s="1">
        <v>561</v>
      </c>
      <c r="B77" s="2" t="s">
        <v>98</v>
      </c>
      <c r="C77" s="7">
        <v>2000</v>
      </c>
      <c r="D77" s="18"/>
      <c r="E77" s="3">
        <v>0</v>
      </c>
      <c r="F77" s="3">
        <v>0</v>
      </c>
      <c r="G77" s="3"/>
      <c r="H77" s="101" t="e">
        <f>#REF!-#REF!</f>
        <v>#REF!</v>
      </c>
      <c r="I77" s="5" t="e">
        <f>#REF!-F77-G77-#REF!</f>
        <v>#REF!</v>
      </c>
      <c r="J77" s="54">
        <v>2000</v>
      </c>
      <c r="K77" s="85"/>
      <c r="L77" s="8">
        <v>2000</v>
      </c>
      <c r="M77" s="54"/>
      <c r="N77" s="54">
        <f>L77+M77</f>
        <v>2000</v>
      </c>
      <c r="O77" s="54">
        <f aca="true" t="shared" si="23" ref="O77:O135">N77-J77</f>
        <v>0</v>
      </c>
      <c r="P77" s="33"/>
      <c r="Q77" s="33">
        <v>0</v>
      </c>
      <c r="R77" s="33">
        <v>2000</v>
      </c>
      <c r="S77" s="33">
        <v>2000</v>
      </c>
      <c r="T77" s="96">
        <f t="shared" si="19"/>
        <v>0</v>
      </c>
      <c r="U77" s="97">
        <f t="shared" si="20"/>
        <v>0</v>
      </c>
      <c r="V77" s="21" t="s">
        <v>112</v>
      </c>
      <c r="W77" s="21"/>
      <c r="X77" s="19">
        <v>0</v>
      </c>
      <c r="Y77" s="19">
        <v>0</v>
      </c>
      <c r="Z77" s="53">
        <v>2000</v>
      </c>
      <c r="AA77" s="98"/>
      <c r="AB77" s="53"/>
      <c r="AC77" s="53">
        <f>Z77</f>
        <v>2000</v>
      </c>
      <c r="AD77" s="53">
        <f aca="true" t="shared" si="24" ref="AD77:AD135">AC77-Z77</f>
        <v>0</v>
      </c>
      <c r="AE77" s="53">
        <f t="shared" si="22"/>
        <v>0</v>
      </c>
      <c r="AF77" s="99"/>
      <c r="AG77" s="99">
        <v>0</v>
      </c>
      <c r="AH77" s="100"/>
      <c r="AI77" s="100"/>
      <c r="AJ77" s="100"/>
      <c r="AK77" s="27">
        <f t="shared" si="21"/>
        <v>0</v>
      </c>
      <c r="AL77" s="87">
        <f aca="true" t="shared" si="25" ref="AL77:AL129">AC77/J77-1</f>
        <v>0</v>
      </c>
      <c r="AM77" s="24"/>
    </row>
    <row r="78" spans="1:39" s="6" customFormat="1" ht="15.75">
      <c r="A78" s="1">
        <v>561</v>
      </c>
      <c r="B78" s="2" t="s">
        <v>99</v>
      </c>
      <c r="C78" s="7">
        <v>175824</v>
      </c>
      <c r="D78" s="18"/>
      <c r="E78" s="3">
        <v>223776</v>
      </c>
      <c r="F78" s="3">
        <v>158180</v>
      </c>
      <c r="G78" s="3"/>
      <c r="H78" s="101" t="e">
        <f>#REF!-#REF!</f>
        <v>#REF!</v>
      </c>
      <c r="I78" s="5" t="e">
        <f>#REF!-F78-G78-#REF!</f>
        <v>#REF!</v>
      </c>
      <c r="J78" s="54">
        <v>232794</v>
      </c>
      <c r="K78" s="85"/>
      <c r="L78" s="8">
        <v>223776</v>
      </c>
      <c r="M78" s="54"/>
      <c r="N78" s="54">
        <v>226014</v>
      </c>
      <c r="O78" s="54">
        <f t="shared" si="23"/>
        <v>-6780</v>
      </c>
      <c r="P78" s="33"/>
      <c r="Q78" s="33">
        <v>108000</v>
      </c>
      <c r="R78" s="33">
        <f>N78*1.03</f>
        <v>232794.42</v>
      </c>
      <c r="S78" s="33">
        <v>232794</v>
      </c>
      <c r="T78" s="96">
        <f t="shared" si="19"/>
        <v>6780</v>
      </c>
      <c r="U78" s="97">
        <f t="shared" si="20"/>
        <v>0.02999814170803572</v>
      </c>
      <c r="V78" s="21" t="s">
        <v>112</v>
      </c>
      <c r="W78" s="21"/>
      <c r="X78" s="19">
        <v>0</v>
      </c>
      <c r="Y78" s="19">
        <v>0</v>
      </c>
      <c r="Z78" s="53">
        <v>232794</v>
      </c>
      <c r="AA78" s="98"/>
      <c r="AB78" s="53"/>
      <c r="AC78" s="53">
        <v>156498.42</v>
      </c>
      <c r="AD78" s="53">
        <f t="shared" si="24"/>
        <v>-76295.57999999999</v>
      </c>
      <c r="AE78" s="53">
        <f t="shared" si="22"/>
        <v>-76295.57999999999</v>
      </c>
      <c r="AF78" s="99"/>
      <c r="AG78" s="99">
        <v>6780</v>
      </c>
      <c r="AH78" s="100"/>
      <c r="AI78" s="100"/>
      <c r="AJ78" s="100"/>
      <c r="AK78" s="27">
        <f t="shared" si="21"/>
        <v>6780</v>
      </c>
      <c r="AL78" s="87">
        <f t="shared" si="25"/>
        <v>-0.32773860151034817</v>
      </c>
      <c r="AM78" s="24"/>
    </row>
    <row r="79" spans="1:39" s="6" customFormat="1" ht="15.75">
      <c r="A79" s="1">
        <v>561</v>
      </c>
      <c r="B79" s="2" t="s">
        <v>100</v>
      </c>
      <c r="C79" s="7">
        <v>60000</v>
      </c>
      <c r="D79" s="18"/>
      <c r="E79" s="3">
        <v>127872</v>
      </c>
      <c r="F79" s="3">
        <v>0</v>
      </c>
      <c r="G79" s="3"/>
      <c r="H79" s="101" t="e">
        <f>#REF!-#REF!</f>
        <v>#REF!</v>
      </c>
      <c r="I79" s="5" t="e">
        <f>#REF!-F79-G79-#REF!</f>
        <v>#REF!</v>
      </c>
      <c r="J79" s="54">
        <v>114165</v>
      </c>
      <c r="K79" s="85"/>
      <c r="L79" s="8">
        <v>109742</v>
      </c>
      <c r="M79" s="54"/>
      <c r="N79" s="54">
        <v>110840</v>
      </c>
      <c r="O79" s="54">
        <f t="shared" si="23"/>
        <v>-3325</v>
      </c>
      <c r="P79" s="33"/>
      <c r="Q79" s="33">
        <v>57995.5</v>
      </c>
      <c r="R79" s="33">
        <f>N79*1.03</f>
        <v>114165.2</v>
      </c>
      <c r="S79" s="33">
        <v>114165</v>
      </c>
      <c r="T79" s="111">
        <f t="shared" si="19"/>
        <v>3325</v>
      </c>
      <c r="U79" s="97">
        <f t="shared" si="20"/>
        <v>0.02999819559725725</v>
      </c>
      <c r="V79" s="21" t="s">
        <v>112</v>
      </c>
      <c r="W79" s="21"/>
      <c r="X79" s="19">
        <v>0</v>
      </c>
      <c r="Y79" s="19">
        <v>0</v>
      </c>
      <c r="Z79" s="53">
        <v>114165</v>
      </c>
      <c r="AA79" s="98"/>
      <c r="AB79" s="53"/>
      <c r="AC79" s="53">
        <v>119470.73</v>
      </c>
      <c r="AD79" s="53">
        <f t="shared" si="24"/>
        <v>5305.729999999996</v>
      </c>
      <c r="AE79" s="53">
        <f t="shared" si="22"/>
        <v>5305.729999999996</v>
      </c>
      <c r="AF79" s="99"/>
      <c r="AG79" s="99">
        <v>3325</v>
      </c>
      <c r="AH79" s="100"/>
      <c r="AI79" s="100"/>
      <c r="AJ79" s="100"/>
      <c r="AK79" s="27">
        <f t="shared" si="21"/>
        <v>3325</v>
      </c>
      <c r="AL79" s="87">
        <f t="shared" si="25"/>
        <v>0.046474225901107946</v>
      </c>
      <c r="AM79" s="24"/>
    </row>
    <row r="80" spans="1:39" s="6" customFormat="1" ht="15.75">
      <c r="A80" s="1"/>
      <c r="B80" s="2"/>
      <c r="C80" s="16">
        <f>SUM(C74:C79)</f>
        <v>6716609</v>
      </c>
      <c r="D80" s="16">
        <f>SUM(D74:D79)</f>
        <v>0</v>
      </c>
      <c r="E80" s="10">
        <f>SUM(E74:E79)</f>
        <v>6428588</v>
      </c>
      <c r="F80" s="10">
        <f>SUM(F74:F79)</f>
        <v>6446078.53</v>
      </c>
      <c r="G80" s="91">
        <f>SUM(G74:G79)</f>
        <v>0</v>
      </c>
      <c r="H80" s="101" t="e">
        <f>#REF!-#REF!</f>
        <v>#REF!</v>
      </c>
      <c r="I80" s="5" t="e">
        <f>#REF!-F80-G80-#REF!</f>
        <v>#REF!</v>
      </c>
      <c r="J80" s="57">
        <f>SUM(J74:J79)</f>
        <v>7002970</v>
      </c>
      <c r="K80" s="85"/>
      <c r="L80" s="11">
        <f>SUM(L74:L79)</f>
        <v>6946781</v>
      </c>
      <c r="M80" s="91"/>
      <c r="N80" s="57">
        <f>SUM(N74:N79)</f>
        <v>6965473</v>
      </c>
      <c r="O80" s="54">
        <f t="shared" si="23"/>
        <v>-37497</v>
      </c>
      <c r="P80" s="33"/>
      <c r="Q80" s="58">
        <f>SUM(Q74:Q79)</f>
        <v>3429155.5700000003</v>
      </c>
      <c r="R80" s="112">
        <f>SUM(R74:R79)</f>
        <v>7148999.12</v>
      </c>
      <c r="S80" s="112">
        <f aca="true" t="shared" si="26" ref="S80:AF80">SUM(S74:S79)</f>
        <v>7148999</v>
      </c>
      <c r="T80" s="112">
        <f t="shared" si="26"/>
        <v>183526</v>
      </c>
      <c r="U80" s="112">
        <f t="shared" si="26"/>
        <v>0.14500253108168648</v>
      </c>
      <c r="V80" s="112">
        <f t="shared" si="26"/>
        <v>0</v>
      </c>
      <c r="W80" s="112">
        <f t="shared" si="26"/>
        <v>0</v>
      </c>
      <c r="X80" s="112">
        <f t="shared" si="26"/>
        <v>0</v>
      </c>
      <c r="Y80" s="112">
        <f t="shared" si="26"/>
        <v>0</v>
      </c>
      <c r="Z80" s="112">
        <f t="shared" si="26"/>
        <v>7148999.4</v>
      </c>
      <c r="AA80" s="112">
        <f>SUM(AA74:AA79)</f>
        <v>0</v>
      </c>
      <c r="AB80" s="112">
        <f>SUM(AB74:AB79)</f>
        <v>0</v>
      </c>
      <c r="AC80" s="112">
        <f>SUM(AC74:AC79)</f>
        <v>7146460.438</v>
      </c>
      <c r="AD80" s="27">
        <f t="shared" si="24"/>
        <v>-2538.9620000002906</v>
      </c>
      <c r="AE80" s="158">
        <f t="shared" si="22"/>
        <v>143490.43800000008</v>
      </c>
      <c r="AF80" s="110">
        <f t="shared" si="26"/>
        <v>0</v>
      </c>
      <c r="AG80" s="110">
        <f>SUM(AG74:AG79)</f>
        <v>37497</v>
      </c>
      <c r="AH80" s="110">
        <f>SUM(AH74:AH79)</f>
        <v>0</v>
      </c>
      <c r="AI80" s="110">
        <f>SUM(AI74:AI79)</f>
        <v>0</v>
      </c>
      <c r="AJ80" s="113"/>
      <c r="AK80" s="113">
        <f>SUM(AK74:AK79)</f>
        <v>183526.40000000037</v>
      </c>
      <c r="AL80" s="206">
        <f t="shared" si="25"/>
        <v>0.020489940410997054</v>
      </c>
      <c r="AM80" s="24"/>
    </row>
    <row r="81" spans="1:39" s="6" customFormat="1" ht="15.75">
      <c r="A81" s="1"/>
      <c r="B81" s="2"/>
      <c r="C81" s="7"/>
      <c r="D81" s="18"/>
      <c r="E81" s="3" t="s">
        <v>41</v>
      </c>
      <c r="F81" s="3" t="s">
        <v>41</v>
      </c>
      <c r="G81" s="3"/>
      <c r="H81" s="101" t="s">
        <v>41</v>
      </c>
      <c r="I81" s="5" t="s">
        <v>41</v>
      </c>
      <c r="J81" s="54" t="s">
        <v>41</v>
      </c>
      <c r="K81" s="85"/>
      <c r="L81" s="8"/>
      <c r="M81" s="54"/>
      <c r="N81" s="54" t="s">
        <v>41</v>
      </c>
      <c r="O81" s="54" t="e">
        <f t="shared" si="23"/>
        <v>#VALUE!</v>
      </c>
      <c r="P81" s="33"/>
      <c r="Q81" s="33" t="s">
        <v>41</v>
      </c>
      <c r="R81" s="33" t="s">
        <v>41</v>
      </c>
      <c r="S81" s="33" t="s">
        <v>41</v>
      </c>
      <c r="T81" s="96" t="s">
        <v>41</v>
      </c>
      <c r="U81" s="97" t="s">
        <v>41</v>
      </c>
      <c r="V81" s="21"/>
      <c r="W81" s="21"/>
      <c r="X81" s="19" t="str">
        <f>R81</f>
        <v> </v>
      </c>
      <c r="Y81" s="19" t="str">
        <f>S81</f>
        <v> </v>
      </c>
      <c r="Z81" s="53" t="s">
        <v>41</v>
      </c>
      <c r="AA81" s="98"/>
      <c r="AB81" s="53"/>
      <c r="AC81" s="53" t="str">
        <f>Z81</f>
        <v> </v>
      </c>
      <c r="AD81" s="53" t="s">
        <v>41</v>
      </c>
      <c r="AE81" s="53" t="s">
        <v>41</v>
      </c>
      <c r="AF81" s="99"/>
      <c r="AG81" s="99"/>
      <c r="AH81" s="100"/>
      <c r="AI81" s="100"/>
      <c r="AJ81" s="100"/>
      <c r="AK81" s="27"/>
      <c r="AL81" s="87" t="s">
        <v>41</v>
      </c>
      <c r="AM81" s="24"/>
    </row>
    <row r="82" spans="1:39" s="6" customFormat="1" ht="15.75">
      <c r="A82" s="1"/>
      <c r="B82" s="2"/>
      <c r="C82" s="7"/>
      <c r="D82" s="18"/>
      <c r="E82" s="3"/>
      <c r="F82" s="3"/>
      <c r="G82" s="3"/>
      <c r="H82" s="101" t="s">
        <v>41</v>
      </c>
      <c r="I82" s="5" t="s">
        <v>41</v>
      </c>
      <c r="J82" s="54" t="s">
        <v>41</v>
      </c>
      <c r="K82" s="85"/>
      <c r="L82" s="8"/>
      <c r="M82" s="54"/>
      <c r="N82" s="54" t="s">
        <v>41</v>
      </c>
      <c r="O82" s="54" t="e">
        <f t="shared" si="23"/>
        <v>#VALUE!</v>
      </c>
      <c r="P82" s="33"/>
      <c r="Q82" s="33"/>
      <c r="R82" s="33" t="s">
        <v>41</v>
      </c>
      <c r="S82" s="33" t="s">
        <v>41</v>
      </c>
      <c r="T82" s="96" t="s">
        <v>41</v>
      </c>
      <c r="U82" s="97" t="s">
        <v>41</v>
      </c>
      <c r="V82" s="21"/>
      <c r="W82" s="21"/>
      <c r="X82" s="19" t="str">
        <f>R82</f>
        <v> </v>
      </c>
      <c r="Y82" s="19" t="str">
        <f>S82</f>
        <v> </v>
      </c>
      <c r="Z82" s="53" t="s">
        <v>41</v>
      </c>
      <c r="AA82" s="98"/>
      <c r="AB82" s="53"/>
      <c r="AC82" s="53" t="str">
        <f>Z82</f>
        <v> </v>
      </c>
      <c r="AD82" s="53" t="s">
        <v>41</v>
      </c>
      <c r="AE82" s="53" t="s">
        <v>41</v>
      </c>
      <c r="AF82" s="99"/>
      <c r="AG82" s="99"/>
      <c r="AH82" s="100"/>
      <c r="AI82" s="100"/>
      <c r="AJ82" s="100"/>
      <c r="AK82" s="27"/>
      <c r="AL82" s="87" t="s">
        <v>41</v>
      </c>
      <c r="AM82" s="24"/>
    </row>
    <row r="83" spans="1:39" s="6" customFormat="1" ht="15.75">
      <c r="A83" s="1">
        <v>563</v>
      </c>
      <c r="B83" s="2" t="s">
        <v>42</v>
      </c>
      <c r="C83" s="7">
        <v>3413812</v>
      </c>
      <c r="D83" s="18"/>
      <c r="E83" s="3">
        <v>2237844</v>
      </c>
      <c r="F83" s="3">
        <v>3633465</v>
      </c>
      <c r="G83" s="3">
        <v>612464.5</v>
      </c>
      <c r="H83" s="101" t="e">
        <f>#REF!-#REF!</f>
        <v>#REF!</v>
      </c>
      <c r="I83" s="5" t="e">
        <f>#REF!-F83-G83-#REF!</f>
        <v>#REF!</v>
      </c>
      <c r="J83" s="54">
        <v>3500000</v>
      </c>
      <c r="K83" s="85"/>
      <c r="L83" s="8">
        <v>3472344</v>
      </c>
      <c r="M83" s="54">
        <v>0</v>
      </c>
      <c r="N83" s="54">
        <v>3472344</v>
      </c>
      <c r="O83" s="54">
        <f t="shared" si="23"/>
        <v>-27656</v>
      </c>
      <c r="P83" s="33"/>
      <c r="Q83" s="33">
        <v>1574573.44</v>
      </c>
      <c r="R83" s="33">
        <f>N83*1.025</f>
        <v>3559152.5999999996</v>
      </c>
      <c r="S83" s="33">
        <f>N83*1.01</f>
        <v>3507067.44</v>
      </c>
      <c r="T83" s="111">
        <f>S83-N83</f>
        <v>34723.439999999944</v>
      </c>
      <c r="U83" s="97">
        <f>S83/N83-1</f>
        <v>0.010000000000000009</v>
      </c>
      <c r="V83" s="21" t="s">
        <v>114</v>
      </c>
      <c r="W83" s="21"/>
      <c r="X83" s="19">
        <v>0</v>
      </c>
      <c r="Y83" s="19">
        <v>-52085</v>
      </c>
      <c r="Z83" s="53">
        <v>3507067</v>
      </c>
      <c r="AA83" s="98"/>
      <c r="AB83" s="53"/>
      <c r="AC83" s="53">
        <v>3500000</v>
      </c>
      <c r="AD83" s="53">
        <f t="shared" si="24"/>
        <v>-7067</v>
      </c>
      <c r="AE83" s="53">
        <f t="shared" si="22"/>
        <v>0</v>
      </c>
      <c r="AF83" s="99">
        <v>0</v>
      </c>
      <c r="AG83" s="99">
        <v>166490</v>
      </c>
      <c r="AH83" s="100"/>
      <c r="AI83" s="100"/>
      <c r="AJ83" s="100"/>
      <c r="AK83" s="27">
        <f>Z83-N83</f>
        <v>34723</v>
      </c>
      <c r="AL83" s="87">
        <f t="shared" si="25"/>
        <v>0</v>
      </c>
      <c r="AM83" s="24"/>
    </row>
    <row r="84" spans="1:39" s="6" customFormat="1" ht="15.75">
      <c r="A84" s="1"/>
      <c r="B84" s="2"/>
      <c r="C84" s="10">
        <f>C80+C83</f>
        <v>10130421</v>
      </c>
      <c r="D84" s="10">
        <f>D80+D83</f>
        <v>0</v>
      </c>
      <c r="E84" s="10">
        <f>E80+E83</f>
        <v>8666432</v>
      </c>
      <c r="F84" s="10">
        <f>F80+F83</f>
        <v>10079543.530000001</v>
      </c>
      <c r="G84" s="10">
        <f>G80+G83</f>
        <v>612464.5</v>
      </c>
      <c r="H84" s="101" t="e">
        <f>#REF!-#REF!</f>
        <v>#REF!</v>
      </c>
      <c r="I84" s="5" t="e">
        <f>#REF!-F84-G84-#REF!</f>
        <v>#REF!</v>
      </c>
      <c r="J84" s="11">
        <f>J80+J83</f>
        <v>10502970</v>
      </c>
      <c r="K84" s="11">
        <f aca="true" t="shared" si="27" ref="K84:AG84">K80+K83</f>
        <v>0</v>
      </c>
      <c r="L84" s="11">
        <f t="shared" si="27"/>
        <v>10419125</v>
      </c>
      <c r="M84" s="11">
        <f t="shared" si="27"/>
        <v>0</v>
      </c>
      <c r="N84" s="11">
        <f t="shared" si="27"/>
        <v>10437817</v>
      </c>
      <c r="O84" s="54">
        <f t="shared" si="23"/>
        <v>-65153</v>
      </c>
      <c r="P84" s="58">
        <f t="shared" si="27"/>
        <v>0</v>
      </c>
      <c r="Q84" s="58">
        <f t="shared" si="27"/>
        <v>5003729.01</v>
      </c>
      <c r="R84" s="58">
        <f t="shared" si="27"/>
        <v>10708151.719999999</v>
      </c>
      <c r="S84" s="58">
        <f t="shared" si="27"/>
        <v>10656066.44</v>
      </c>
      <c r="T84" s="58">
        <f t="shared" si="27"/>
        <v>218249.43999999994</v>
      </c>
      <c r="U84" s="58">
        <f t="shared" si="27"/>
        <v>0.1550025310816865</v>
      </c>
      <c r="V84" s="58" t="e">
        <f t="shared" si="27"/>
        <v>#VALUE!</v>
      </c>
      <c r="W84" s="58">
        <f t="shared" si="27"/>
        <v>0</v>
      </c>
      <c r="X84" s="58">
        <f t="shared" si="27"/>
        <v>0</v>
      </c>
      <c r="Y84" s="58">
        <f t="shared" si="27"/>
        <v>-52085</v>
      </c>
      <c r="Z84" s="58">
        <f t="shared" si="27"/>
        <v>10656066.4</v>
      </c>
      <c r="AA84" s="58">
        <f>AA80+AA83</f>
        <v>0</v>
      </c>
      <c r="AB84" s="58">
        <f>AB80+AB83</f>
        <v>0</v>
      </c>
      <c r="AC84" s="58">
        <f>AC80+AC83</f>
        <v>10646460.438000001</v>
      </c>
      <c r="AD84" s="27">
        <f t="shared" si="24"/>
        <v>-9605.96199999936</v>
      </c>
      <c r="AE84" s="158">
        <f t="shared" si="22"/>
        <v>143490.438000001</v>
      </c>
      <c r="AF84" s="110">
        <f t="shared" si="27"/>
        <v>0</v>
      </c>
      <c r="AG84" s="110">
        <f t="shared" si="27"/>
        <v>203987</v>
      </c>
      <c r="AH84" s="110">
        <f>AH80+AH83</f>
        <v>0</v>
      </c>
      <c r="AI84" s="110">
        <f>AI80+AI83</f>
        <v>0</v>
      </c>
      <c r="AJ84" s="23"/>
      <c r="AK84" s="23">
        <f>AK80+AK83</f>
        <v>218249.40000000037</v>
      </c>
      <c r="AL84" s="207">
        <f t="shared" si="25"/>
        <v>0.013661891636365775</v>
      </c>
      <c r="AM84" s="24"/>
    </row>
    <row r="85" spans="1:39" s="6" customFormat="1" ht="15.75">
      <c r="A85" s="1"/>
      <c r="B85" s="2"/>
      <c r="C85" s="9"/>
      <c r="D85" s="3"/>
      <c r="E85" s="3" t="s">
        <v>41</v>
      </c>
      <c r="F85" s="3" t="s">
        <v>41</v>
      </c>
      <c r="G85" s="3"/>
      <c r="H85" s="101"/>
      <c r="I85" s="5" t="s">
        <v>41</v>
      </c>
      <c r="J85" s="54"/>
      <c r="K85" s="85"/>
      <c r="L85" s="8"/>
      <c r="M85" s="19"/>
      <c r="N85" s="54"/>
      <c r="O85" s="54">
        <f t="shared" si="23"/>
        <v>0</v>
      </c>
      <c r="P85" s="33"/>
      <c r="Q85" s="33" t="s">
        <v>41</v>
      </c>
      <c r="R85" s="33"/>
      <c r="S85" s="33"/>
      <c r="T85" s="96" t="s">
        <v>41</v>
      </c>
      <c r="U85" s="97" t="s">
        <v>41</v>
      </c>
      <c r="V85" s="21"/>
      <c r="W85" s="21"/>
      <c r="X85" s="19" t="s">
        <v>41</v>
      </c>
      <c r="Y85" s="19" t="s">
        <v>41</v>
      </c>
      <c r="Z85" s="53" t="s">
        <v>41</v>
      </c>
      <c r="AA85" s="98"/>
      <c r="AB85" s="53"/>
      <c r="AC85" s="53" t="str">
        <f>Z85</f>
        <v> </v>
      </c>
      <c r="AD85" s="53" t="s">
        <v>41</v>
      </c>
      <c r="AE85" s="53" t="s">
        <v>41</v>
      </c>
      <c r="AF85" s="99"/>
      <c r="AG85" s="99"/>
      <c r="AH85" s="100"/>
      <c r="AI85" s="100"/>
      <c r="AJ85" s="100"/>
      <c r="AK85" s="27"/>
      <c r="AL85" s="87" t="s">
        <v>41</v>
      </c>
      <c r="AM85" s="24"/>
    </row>
    <row r="86" spans="1:39" s="6" customFormat="1" ht="15.75">
      <c r="A86" s="1"/>
      <c r="B86" s="2"/>
      <c r="C86" s="7"/>
      <c r="D86" s="18"/>
      <c r="E86" s="3"/>
      <c r="F86" s="3"/>
      <c r="G86" s="3"/>
      <c r="H86" s="101" t="s">
        <v>41</v>
      </c>
      <c r="I86" s="5" t="s">
        <v>41</v>
      </c>
      <c r="J86" s="54" t="s">
        <v>41</v>
      </c>
      <c r="K86" s="85"/>
      <c r="L86" s="8"/>
      <c r="M86" s="54"/>
      <c r="N86" s="54" t="s">
        <v>41</v>
      </c>
      <c r="O86" s="54" t="s">
        <v>41</v>
      </c>
      <c r="P86" s="33"/>
      <c r="Q86" s="33"/>
      <c r="R86" s="33" t="s">
        <v>41</v>
      </c>
      <c r="S86" s="33" t="s">
        <v>41</v>
      </c>
      <c r="T86" s="96" t="s">
        <v>41</v>
      </c>
      <c r="U86" s="97" t="s">
        <v>41</v>
      </c>
      <c r="V86" s="21"/>
      <c r="W86" s="21"/>
      <c r="X86" s="19" t="str">
        <f>R86</f>
        <v> </v>
      </c>
      <c r="Y86" s="19" t="str">
        <f>S86</f>
        <v> </v>
      </c>
      <c r="Z86" s="53" t="s">
        <v>41</v>
      </c>
      <c r="AA86" s="98"/>
      <c r="AB86" s="53"/>
      <c r="AC86" s="53" t="str">
        <f>Z86</f>
        <v> </v>
      </c>
      <c r="AD86" s="53" t="s">
        <v>41</v>
      </c>
      <c r="AE86" s="53" t="s">
        <v>41</v>
      </c>
      <c r="AF86" s="99"/>
      <c r="AG86" s="99"/>
      <c r="AH86" s="100"/>
      <c r="AI86" s="100"/>
      <c r="AJ86" s="100"/>
      <c r="AK86" s="27"/>
      <c r="AL86" s="87" t="s">
        <v>41</v>
      </c>
      <c r="AM86" s="24"/>
    </row>
    <row r="87" spans="1:39" s="6" customFormat="1" ht="15.75">
      <c r="A87" s="1">
        <v>565</v>
      </c>
      <c r="B87" s="2" t="s">
        <v>43</v>
      </c>
      <c r="C87" s="7">
        <v>207025</v>
      </c>
      <c r="D87" s="18"/>
      <c r="E87" s="3">
        <v>44438</v>
      </c>
      <c r="F87" s="3">
        <v>52699</v>
      </c>
      <c r="G87" s="3">
        <v>4225.65</v>
      </c>
      <c r="H87" s="101" t="e">
        <f>#REF!-#REF!</f>
        <v>#REF!</v>
      </c>
      <c r="I87" s="5" t="e">
        <f>#REF!-F87-G87-#REF!</f>
        <v>#REF!</v>
      </c>
      <c r="J87" s="54">
        <v>58092</v>
      </c>
      <c r="K87" s="85"/>
      <c r="L87" s="8">
        <v>58092</v>
      </c>
      <c r="M87" s="54"/>
      <c r="N87" s="54">
        <f>L87+M87</f>
        <v>58092</v>
      </c>
      <c r="O87" s="54">
        <f t="shared" si="23"/>
        <v>0</v>
      </c>
      <c r="P87" s="33"/>
      <c r="Q87" s="33">
        <v>23901.45</v>
      </c>
      <c r="R87" s="33">
        <v>58092</v>
      </c>
      <c r="S87" s="33">
        <v>58092</v>
      </c>
      <c r="T87" s="96">
        <f>S87-N87</f>
        <v>0</v>
      </c>
      <c r="U87" s="97">
        <f>S87/N87-1</f>
        <v>0</v>
      </c>
      <c r="V87" s="21" t="s">
        <v>41</v>
      </c>
      <c r="W87" s="21"/>
      <c r="X87" s="19">
        <v>0</v>
      </c>
      <c r="Y87" s="19">
        <v>0</v>
      </c>
      <c r="Z87" s="53">
        <v>58092</v>
      </c>
      <c r="AA87" s="98"/>
      <c r="AB87" s="53"/>
      <c r="AC87" s="53">
        <v>100000</v>
      </c>
      <c r="AD87" s="53">
        <f t="shared" si="24"/>
        <v>41908</v>
      </c>
      <c r="AE87" s="53">
        <f t="shared" si="22"/>
        <v>41908</v>
      </c>
      <c r="AF87" s="99"/>
      <c r="AG87" s="99"/>
      <c r="AH87" s="100"/>
      <c r="AI87" s="100"/>
      <c r="AJ87" s="100"/>
      <c r="AK87" s="27">
        <f>Z87-N87</f>
        <v>0</v>
      </c>
      <c r="AL87" s="87">
        <f t="shared" si="25"/>
        <v>0.7214074227088068</v>
      </c>
      <c r="AM87" s="24"/>
    </row>
    <row r="88" spans="1:39" s="6" customFormat="1" ht="15.75">
      <c r="A88" s="1">
        <v>581</v>
      </c>
      <c r="B88" s="2" t="s">
        <v>82</v>
      </c>
      <c r="C88" s="7">
        <v>42250</v>
      </c>
      <c r="D88" s="18"/>
      <c r="E88" s="3">
        <v>43608</v>
      </c>
      <c r="F88" s="3">
        <v>39850</v>
      </c>
      <c r="G88" s="3">
        <v>1200</v>
      </c>
      <c r="H88" s="101" t="e">
        <f>#REF!-#REF!</f>
        <v>#REF!</v>
      </c>
      <c r="I88" s="5" t="e">
        <f>#REF!-F88-G88-#REF!</f>
        <v>#REF!</v>
      </c>
      <c r="J88" s="54">
        <v>39850</v>
      </c>
      <c r="K88" s="85"/>
      <c r="L88" s="8">
        <v>39850</v>
      </c>
      <c r="M88" s="54"/>
      <c r="N88" s="54">
        <f>L88+M88</f>
        <v>39850</v>
      </c>
      <c r="O88" s="54">
        <f t="shared" si="23"/>
        <v>0</v>
      </c>
      <c r="P88" s="33"/>
      <c r="Q88" s="33">
        <v>19759.81</v>
      </c>
      <c r="R88" s="33">
        <v>39850</v>
      </c>
      <c r="S88" s="33">
        <v>39850</v>
      </c>
      <c r="T88" s="96">
        <f aca="true" t="shared" si="28" ref="T88:T98">S88-N88</f>
        <v>0</v>
      </c>
      <c r="U88" s="97">
        <f aca="true" t="shared" si="29" ref="U88:U98">S88/N88-1</f>
        <v>0</v>
      </c>
      <c r="V88" s="21"/>
      <c r="W88" s="21"/>
      <c r="X88" s="19">
        <v>0</v>
      </c>
      <c r="Y88" s="19">
        <v>0</v>
      </c>
      <c r="Z88" s="53">
        <v>39850.4</v>
      </c>
      <c r="AA88" s="98"/>
      <c r="AB88" s="53"/>
      <c r="AC88" s="53">
        <v>39850</v>
      </c>
      <c r="AD88" s="53">
        <f t="shared" si="24"/>
        <v>-0.4000000000014552</v>
      </c>
      <c r="AE88" s="53">
        <f t="shared" si="22"/>
        <v>0</v>
      </c>
      <c r="AF88" s="99"/>
      <c r="AG88" s="99"/>
      <c r="AH88" s="100"/>
      <c r="AI88" s="100"/>
      <c r="AJ88" s="100"/>
      <c r="AK88" s="27">
        <f>Z88-N88</f>
        <v>0.4000000000014552</v>
      </c>
      <c r="AL88" s="87">
        <f t="shared" si="25"/>
        <v>0</v>
      </c>
      <c r="AM88" s="24"/>
    </row>
    <row r="89" spans="1:39" s="6" customFormat="1" ht="15.75">
      <c r="A89" s="1">
        <v>582</v>
      </c>
      <c r="B89" s="2" t="s">
        <v>70</v>
      </c>
      <c r="C89" s="7">
        <v>18750</v>
      </c>
      <c r="D89" s="18"/>
      <c r="E89" s="3">
        <v>16741</v>
      </c>
      <c r="F89" s="3">
        <v>0</v>
      </c>
      <c r="G89" s="3">
        <v>500</v>
      </c>
      <c r="H89" s="101" t="e">
        <f>#REF!-#REF!</f>
        <v>#REF!</v>
      </c>
      <c r="I89" s="5" t="e">
        <f>#REF!-F89-G89-#REF!</f>
        <v>#REF!</v>
      </c>
      <c r="J89" s="54">
        <v>18750</v>
      </c>
      <c r="K89" s="85"/>
      <c r="L89" s="8">
        <v>18750</v>
      </c>
      <c r="M89" s="54"/>
      <c r="N89" s="54">
        <f>L89+M89</f>
        <v>18750</v>
      </c>
      <c r="O89" s="54">
        <f t="shared" si="23"/>
        <v>0</v>
      </c>
      <c r="P89" s="33"/>
      <c r="Q89" s="33">
        <v>6641.6</v>
      </c>
      <c r="R89" s="33">
        <v>31000</v>
      </c>
      <c r="S89" s="33">
        <v>18750</v>
      </c>
      <c r="T89" s="96">
        <f t="shared" si="28"/>
        <v>0</v>
      </c>
      <c r="U89" s="97">
        <f t="shared" si="29"/>
        <v>0</v>
      </c>
      <c r="V89" s="21"/>
      <c r="W89" s="21"/>
      <c r="X89" s="19">
        <v>0</v>
      </c>
      <c r="Y89" s="19">
        <v>-12250</v>
      </c>
      <c r="Z89" s="53">
        <v>18750</v>
      </c>
      <c r="AA89" s="98"/>
      <c r="AB89" s="53"/>
      <c r="AC89" s="53">
        <v>24250</v>
      </c>
      <c r="AD89" s="53">
        <f t="shared" si="24"/>
        <v>5500</v>
      </c>
      <c r="AE89" s="53">
        <f t="shared" si="22"/>
        <v>5500</v>
      </c>
      <c r="AF89" s="99"/>
      <c r="AG89" s="99"/>
      <c r="AH89" s="100"/>
      <c r="AI89" s="100"/>
      <c r="AJ89" s="100"/>
      <c r="AK89" s="27">
        <f>Z89-N89</f>
        <v>0</v>
      </c>
      <c r="AL89" s="87">
        <f t="shared" si="25"/>
        <v>0.2933333333333332</v>
      </c>
      <c r="AM89" s="24"/>
    </row>
    <row r="90" spans="1:39" s="6" customFormat="1" ht="15.75">
      <c r="A90" s="1">
        <v>590</v>
      </c>
      <c r="B90" s="2" t="s">
        <v>44</v>
      </c>
      <c r="C90" s="7">
        <v>163300</v>
      </c>
      <c r="D90" s="18"/>
      <c r="E90" s="3">
        <v>66830</v>
      </c>
      <c r="F90" s="3">
        <v>124081</v>
      </c>
      <c r="G90" s="3">
        <v>8916.49</v>
      </c>
      <c r="H90" s="101" t="e">
        <f>#REF!-#REF!</f>
        <v>#REF!</v>
      </c>
      <c r="I90" s="5" t="e">
        <f>#REF!-F90-G90-#REF!</f>
        <v>#REF!</v>
      </c>
      <c r="J90" s="54">
        <v>212850</v>
      </c>
      <c r="K90" s="85"/>
      <c r="L90" s="8">
        <v>163300</v>
      </c>
      <c r="M90" s="54"/>
      <c r="N90" s="54">
        <f>L90+M90</f>
        <v>163300</v>
      </c>
      <c r="O90" s="54">
        <f t="shared" si="23"/>
        <v>-49550</v>
      </c>
      <c r="P90" s="33"/>
      <c r="Q90" s="33">
        <v>108854.82</v>
      </c>
      <c r="R90" s="33">
        <v>217850</v>
      </c>
      <c r="S90" s="33">
        <f>217850-2000-2000-1000</f>
        <v>212850</v>
      </c>
      <c r="T90" s="96">
        <f t="shared" si="28"/>
        <v>49550</v>
      </c>
      <c r="U90" s="97">
        <f t="shared" si="29"/>
        <v>0.303429271279853</v>
      </c>
      <c r="V90" s="21"/>
      <c r="W90" s="21"/>
      <c r="X90" s="19">
        <v>0</v>
      </c>
      <c r="Y90" s="19">
        <v>-5000</v>
      </c>
      <c r="Z90" s="53">
        <v>212850</v>
      </c>
      <c r="AA90" s="98"/>
      <c r="AB90" s="53"/>
      <c r="AC90" s="53">
        <v>200000</v>
      </c>
      <c r="AD90" s="53">
        <f t="shared" si="24"/>
        <v>-12850</v>
      </c>
      <c r="AE90" s="53">
        <f t="shared" si="22"/>
        <v>-12850</v>
      </c>
      <c r="AF90" s="99">
        <v>49550</v>
      </c>
      <c r="AG90" s="99"/>
      <c r="AH90" s="100"/>
      <c r="AI90" s="100"/>
      <c r="AJ90" s="100"/>
      <c r="AK90" s="27">
        <f>Z90-N90</f>
        <v>49550</v>
      </c>
      <c r="AL90" s="87">
        <f t="shared" si="25"/>
        <v>-0.06037115339440924</v>
      </c>
      <c r="AM90" s="24"/>
    </row>
    <row r="91" spans="1:39" s="6" customFormat="1" ht="15.75">
      <c r="A91" s="1"/>
      <c r="B91" s="2"/>
      <c r="C91" s="7"/>
      <c r="D91" s="18"/>
      <c r="E91" s="3"/>
      <c r="F91" s="3"/>
      <c r="G91" s="3"/>
      <c r="H91" s="101"/>
      <c r="I91" s="5"/>
      <c r="J91" s="54">
        <f aca="true" t="shared" si="30" ref="J91:U91">SUM(J87:J90)</f>
        <v>329542</v>
      </c>
      <c r="K91" s="54">
        <f t="shared" si="30"/>
        <v>0</v>
      </c>
      <c r="L91" s="54">
        <f t="shared" si="30"/>
        <v>279992</v>
      </c>
      <c r="M91" s="54">
        <f t="shared" si="30"/>
        <v>0</v>
      </c>
      <c r="N91" s="54">
        <f t="shared" si="30"/>
        <v>279992</v>
      </c>
      <c r="O91" s="54">
        <f t="shared" si="23"/>
        <v>-49550</v>
      </c>
      <c r="P91" s="54">
        <f t="shared" si="30"/>
        <v>0</v>
      </c>
      <c r="Q91" s="54">
        <f t="shared" si="30"/>
        <v>159157.68</v>
      </c>
      <c r="R91" s="54">
        <f t="shared" si="30"/>
        <v>346792</v>
      </c>
      <c r="S91" s="54">
        <f t="shared" si="30"/>
        <v>329542</v>
      </c>
      <c r="T91" s="54">
        <f t="shared" si="30"/>
        <v>49550</v>
      </c>
      <c r="U91" s="54">
        <f t="shared" si="30"/>
        <v>0.303429271279853</v>
      </c>
      <c r="V91" s="54" t="s">
        <v>41</v>
      </c>
      <c r="W91" s="54">
        <f aca="true" t="shared" si="31" ref="W91:AC91">SUM(W87:W90)</f>
        <v>0</v>
      </c>
      <c r="X91" s="54">
        <f t="shared" si="31"/>
        <v>0</v>
      </c>
      <c r="Y91" s="54">
        <f t="shared" si="31"/>
        <v>-17250</v>
      </c>
      <c r="Z91" s="54">
        <f t="shared" si="31"/>
        <v>329542.4</v>
      </c>
      <c r="AA91" s="54">
        <f t="shared" si="31"/>
        <v>0</v>
      </c>
      <c r="AB91" s="54">
        <f t="shared" si="31"/>
        <v>0</v>
      </c>
      <c r="AC91" s="54">
        <f t="shared" si="31"/>
        <v>364100</v>
      </c>
      <c r="AD91" s="53">
        <f t="shared" si="24"/>
        <v>34557.59999999998</v>
      </c>
      <c r="AE91" s="53">
        <f t="shared" si="22"/>
        <v>34558</v>
      </c>
      <c r="AF91" s="59">
        <f>SUM(AF87:AF90)</f>
        <v>49550</v>
      </c>
      <c r="AG91" s="59">
        <f>SUM(AG87:AG90)</f>
        <v>0</v>
      </c>
      <c r="AH91" s="59">
        <f>SUM(AH87:AH90)</f>
        <v>0</v>
      </c>
      <c r="AI91" s="59">
        <f>SUM(AI87:AI90)</f>
        <v>0</v>
      </c>
      <c r="AJ91" s="18"/>
      <c r="AK91" s="18">
        <f>SUM(AK87:AK90)</f>
        <v>49550.4</v>
      </c>
      <c r="AL91" s="87">
        <f t="shared" si="25"/>
        <v>0.10486675446528815</v>
      </c>
      <c r="AM91" s="24"/>
    </row>
    <row r="92" spans="1:39" s="6" customFormat="1" ht="15.75">
      <c r="A92" s="1"/>
      <c r="B92" s="25" t="s">
        <v>129</v>
      </c>
      <c r="C92" s="18"/>
      <c r="D92" s="18"/>
      <c r="E92" s="3"/>
      <c r="F92" s="3"/>
      <c r="G92" s="3"/>
      <c r="H92" s="101"/>
      <c r="I92" s="5"/>
      <c r="J92" s="114">
        <f aca="true" t="shared" si="32" ref="J92:U92">J91+J84+J72+J64</f>
        <v>19211628</v>
      </c>
      <c r="K92" s="114">
        <f t="shared" si="32"/>
        <v>0</v>
      </c>
      <c r="L92" s="114">
        <f t="shared" si="32"/>
        <v>18699835</v>
      </c>
      <c r="M92" s="114">
        <f t="shared" si="32"/>
        <v>0</v>
      </c>
      <c r="N92" s="114">
        <f t="shared" si="32"/>
        <v>18906355</v>
      </c>
      <c r="O92" s="54">
        <f t="shared" si="23"/>
        <v>-305273</v>
      </c>
      <c r="P92" s="114">
        <f t="shared" si="32"/>
        <v>0</v>
      </c>
      <c r="Q92" s="114">
        <f t="shared" si="32"/>
        <v>9691730.66</v>
      </c>
      <c r="R92" s="114">
        <f t="shared" si="32"/>
        <v>19477623.909999996</v>
      </c>
      <c r="S92" s="114">
        <f t="shared" si="32"/>
        <v>19385489.439999998</v>
      </c>
      <c r="T92" s="114">
        <f t="shared" si="32"/>
        <v>479134.43999999994</v>
      </c>
      <c r="U92" s="114">
        <f t="shared" si="32"/>
        <v>0.7427487568449525</v>
      </c>
      <c r="V92" s="114" t="s">
        <v>41</v>
      </c>
      <c r="W92" s="114">
        <f aca="true" t="shared" si="33" ref="W92:AI92">W91+W84+W72+W64</f>
        <v>0</v>
      </c>
      <c r="X92" s="114">
        <f t="shared" si="33"/>
        <v>0</v>
      </c>
      <c r="Y92" s="114">
        <f t="shared" si="33"/>
        <v>-92135</v>
      </c>
      <c r="Z92" s="114">
        <f t="shared" si="33"/>
        <v>19304724.8</v>
      </c>
      <c r="AA92" s="114">
        <f>AA91+AA84+AA72+AA64</f>
        <v>0</v>
      </c>
      <c r="AB92" s="114">
        <f>AB91+AB84+AB72+AB64</f>
        <v>0</v>
      </c>
      <c r="AC92" s="114">
        <f>AC91+AC84+AC72+AC64</f>
        <v>19403674.438</v>
      </c>
      <c r="AD92" s="114">
        <f t="shared" si="33"/>
        <v>98949.63800000062</v>
      </c>
      <c r="AE92" s="208">
        <f t="shared" si="22"/>
        <v>192046.438000001</v>
      </c>
      <c r="AF92" s="60">
        <f t="shared" si="33"/>
        <v>52750</v>
      </c>
      <c r="AG92" s="60">
        <f t="shared" si="33"/>
        <v>331357</v>
      </c>
      <c r="AH92" s="60">
        <f t="shared" si="33"/>
        <v>0</v>
      </c>
      <c r="AI92" s="60">
        <f t="shared" si="33"/>
        <v>0</v>
      </c>
      <c r="AJ92" s="61"/>
      <c r="AK92" s="62">
        <f>AK91+AK84+AK72+AK64</f>
        <v>398369.8000000004</v>
      </c>
      <c r="AL92" s="209">
        <f t="shared" si="25"/>
        <v>0.009996364597524066</v>
      </c>
      <c r="AM92" s="24"/>
    </row>
    <row r="93" spans="1:39" s="6" customFormat="1" ht="15.75">
      <c r="A93" s="1"/>
      <c r="B93" s="2"/>
      <c r="C93" s="7"/>
      <c r="D93" s="18"/>
      <c r="E93" s="3"/>
      <c r="F93" s="3"/>
      <c r="G93" s="3"/>
      <c r="H93" s="101"/>
      <c r="I93" s="5"/>
      <c r="J93" s="54"/>
      <c r="K93" s="85"/>
      <c r="L93" s="8"/>
      <c r="M93" s="54"/>
      <c r="N93" s="54"/>
      <c r="O93" s="54">
        <f t="shared" si="23"/>
        <v>0</v>
      </c>
      <c r="P93" s="33"/>
      <c r="Q93" s="33"/>
      <c r="R93" s="33"/>
      <c r="S93" s="33"/>
      <c r="T93" s="96"/>
      <c r="U93" s="97"/>
      <c r="V93" s="21"/>
      <c r="W93" s="21"/>
      <c r="X93" s="19"/>
      <c r="Y93" s="19"/>
      <c r="Z93" s="53"/>
      <c r="AA93" s="98"/>
      <c r="AB93" s="53"/>
      <c r="AC93" s="53" t="s">
        <v>41</v>
      </c>
      <c r="AD93" s="53" t="s">
        <v>41</v>
      </c>
      <c r="AE93" s="53" t="s">
        <v>41</v>
      </c>
      <c r="AF93" s="99"/>
      <c r="AG93" s="99"/>
      <c r="AH93" s="100"/>
      <c r="AI93" s="100"/>
      <c r="AJ93" s="100"/>
      <c r="AK93" s="27"/>
      <c r="AL93" s="87" t="s">
        <v>41</v>
      </c>
      <c r="AM93" s="24"/>
    </row>
    <row r="94" spans="1:39" s="6" customFormat="1" ht="15.75">
      <c r="A94" s="1"/>
      <c r="B94" s="2"/>
      <c r="C94" s="7"/>
      <c r="D94" s="18"/>
      <c r="E94" s="3"/>
      <c r="F94" s="3"/>
      <c r="G94" s="3"/>
      <c r="H94" s="101"/>
      <c r="I94" s="5"/>
      <c r="J94" s="54"/>
      <c r="K94" s="85"/>
      <c r="L94" s="8"/>
      <c r="M94" s="54"/>
      <c r="N94" s="54"/>
      <c r="O94" s="54">
        <f t="shared" si="23"/>
        <v>0</v>
      </c>
      <c r="P94" s="33"/>
      <c r="Q94" s="33"/>
      <c r="R94" s="33"/>
      <c r="S94" s="33"/>
      <c r="T94" s="96"/>
      <c r="U94" s="97"/>
      <c r="V94" s="21"/>
      <c r="W94" s="21"/>
      <c r="X94" s="19"/>
      <c r="Y94" s="19"/>
      <c r="Z94" s="53"/>
      <c r="AA94" s="98"/>
      <c r="AB94" s="53"/>
      <c r="AC94" s="53" t="s">
        <v>41</v>
      </c>
      <c r="AD94" s="53" t="s">
        <v>41</v>
      </c>
      <c r="AE94" s="53" t="s">
        <v>41</v>
      </c>
      <c r="AF94" s="99"/>
      <c r="AG94" s="99"/>
      <c r="AH94" s="100"/>
      <c r="AI94" s="100"/>
      <c r="AJ94" s="100"/>
      <c r="AK94" s="27"/>
      <c r="AL94" s="87" t="s">
        <v>41</v>
      </c>
      <c r="AM94" s="24"/>
    </row>
    <row r="95" spans="1:39" s="6" customFormat="1" ht="15.75">
      <c r="A95" s="210" t="s">
        <v>131</v>
      </c>
      <c r="B95" s="211"/>
      <c r="C95" s="18"/>
      <c r="D95" s="18"/>
      <c r="E95" s="3"/>
      <c r="F95" s="3"/>
      <c r="G95" s="3"/>
      <c r="H95" s="101"/>
      <c r="I95" s="5"/>
      <c r="J95" s="54"/>
      <c r="K95" s="85"/>
      <c r="L95" s="8"/>
      <c r="M95" s="54"/>
      <c r="N95" s="54"/>
      <c r="O95" s="54">
        <f t="shared" si="23"/>
        <v>0</v>
      </c>
      <c r="P95" s="33"/>
      <c r="Q95" s="33"/>
      <c r="R95" s="33"/>
      <c r="S95" s="33"/>
      <c r="T95" s="96"/>
      <c r="U95" s="97"/>
      <c r="V95" s="21"/>
      <c r="W95" s="21"/>
      <c r="X95" s="19"/>
      <c r="Y95" s="19"/>
      <c r="Z95" s="53"/>
      <c r="AA95" s="98"/>
      <c r="AB95" s="53"/>
      <c r="AC95" s="53" t="s">
        <v>41</v>
      </c>
      <c r="AD95" s="53" t="s">
        <v>41</v>
      </c>
      <c r="AE95" s="53" t="s">
        <v>41</v>
      </c>
      <c r="AF95" s="99"/>
      <c r="AG95" s="99"/>
      <c r="AH95" s="100"/>
      <c r="AI95" s="100"/>
      <c r="AJ95" s="100"/>
      <c r="AK95" s="27"/>
      <c r="AL95" s="87" t="s">
        <v>41</v>
      </c>
      <c r="AM95" s="24"/>
    </row>
    <row r="96" spans="1:39" s="6" customFormat="1" ht="15.75">
      <c r="A96" s="1">
        <v>611</v>
      </c>
      <c r="B96" s="2" t="s">
        <v>45</v>
      </c>
      <c r="C96" s="7">
        <v>484800</v>
      </c>
      <c r="D96" s="18"/>
      <c r="E96" s="3">
        <v>510372</v>
      </c>
      <c r="F96" s="3">
        <v>492431</v>
      </c>
      <c r="G96" s="3">
        <v>178693.46</v>
      </c>
      <c r="H96" s="101" t="e">
        <f>#REF!-#REF!</f>
        <v>#REF!</v>
      </c>
      <c r="I96" s="5" t="e">
        <f>#REF!-F96-G96-#REF!</f>
        <v>#REF!</v>
      </c>
      <c r="J96" s="54">
        <v>527004</v>
      </c>
      <c r="K96" s="85"/>
      <c r="L96" s="8">
        <v>652384</v>
      </c>
      <c r="M96" s="54">
        <v>0</v>
      </c>
      <c r="N96" s="54">
        <v>527004</v>
      </c>
      <c r="O96" s="54">
        <f t="shared" si="23"/>
        <v>0</v>
      </c>
      <c r="P96" s="33"/>
      <c r="Q96" s="33">
        <v>236025.96</v>
      </c>
      <c r="R96" s="33">
        <v>699827.08</v>
      </c>
      <c r="S96" s="33">
        <v>699827</v>
      </c>
      <c r="T96" s="96">
        <f t="shared" si="28"/>
        <v>172823</v>
      </c>
      <c r="U96" s="97">
        <f t="shared" si="29"/>
        <v>0.3279348923347831</v>
      </c>
      <c r="V96" s="21"/>
      <c r="W96" s="21"/>
      <c r="X96" s="19">
        <v>0</v>
      </c>
      <c r="Y96" s="19">
        <v>0</v>
      </c>
      <c r="Z96" s="53">
        <v>699827</v>
      </c>
      <c r="AA96" s="98"/>
      <c r="AB96" s="53"/>
      <c r="AC96" s="53">
        <v>527004</v>
      </c>
      <c r="AD96" s="53">
        <f t="shared" si="24"/>
        <v>-172823</v>
      </c>
      <c r="AE96" s="53">
        <f t="shared" si="22"/>
        <v>0</v>
      </c>
      <c r="AF96" s="99">
        <v>0</v>
      </c>
      <c r="AG96" s="99"/>
      <c r="AH96" s="100">
        <v>0</v>
      </c>
      <c r="AI96" s="100"/>
      <c r="AJ96" s="100"/>
      <c r="AK96" s="27">
        <f>Z96-N96</f>
        <v>172823</v>
      </c>
      <c r="AL96" s="87">
        <f t="shared" si="25"/>
        <v>0</v>
      </c>
      <c r="AM96" s="24"/>
    </row>
    <row r="97" spans="1:39" s="6" customFormat="1" ht="15.75">
      <c r="A97" s="1">
        <v>612</v>
      </c>
      <c r="B97" s="2" t="s">
        <v>46</v>
      </c>
      <c r="C97" s="7">
        <v>191000</v>
      </c>
      <c r="D97" s="18"/>
      <c r="E97" s="3">
        <v>191734</v>
      </c>
      <c r="F97" s="3">
        <v>180119</v>
      </c>
      <c r="G97" s="3">
        <v>63234.92</v>
      </c>
      <c r="H97" s="101" t="e">
        <f>#REF!-#REF!</f>
        <v>#REF!</v>
      </c>
      <c r="I97" s="5" t="e">
        <f>#REF!-F97-G97-#REF!</f>
        <v>#REF!</v>
      </c>
      <c r="J97" s="54">
        <v>208000</v>
      </c>
      <c r="K97" s="85"/>
      <c r="L97" s="8">
        <v>191000</v>
      </c>
      <c r="M97" s="54"/>
      <c r="N97" s="54">
        <v>191000</v>
      </c>
      <c r="O97" s="54">
        <f t="shared" si="23"/>
        <v>-17000</v>
      </c>
      <c r="P97" s="33"/>
      <c r="Q97" s="33">
        <v>109986.69</v>
      </c>
      <c r="R97" s="33">
        <f>191000+2600+1600+1600+1600+2600+600+2600+600+1600+3300+6300</f>
        <v>216000</v>
      </c>
      <c r="S97" s="33">
        <v>216000</v>
      </c>
      <c r="T97" s="96">
        <f t="shared" si="28"/>
        <v>25000</v>
      </c>
      <c r="U97" s="97">
        <f t="shared" si="29"/>
        <v>0.13089005235602102</v>
      </c>
      <c r="V97" s="21"/>
      <c r="W97" s="21"/>
      <c r="X97" s="19">
        <v>0</v>
      </c>
      <c r="Y97" s="19">
        <v>0</v>
      </c>
      <c r="Z97" s="53">
        <v>216000</v>
      </c>
      <c r="AA97" s="98"/>
      <c r="AB97" s="53"/>
      <c r="AC97" s="53">
        <f>Z97-8000</f>
        <v>208000</v>
      </c>
      <c r="AD97" s="53">
        <f t="shared" si="24"/>
        <v>-8000</v>
      </c>
      <c r="AE97" s="53">
        <f t="shared" si="22"/>
        <v>0</v>
      </c>
      <c r="AF97" s="99">
        <v>17000</v>
      </c>
      <c r="AG97" s="99"/>
      <c r="AH97" s="100"/>
      <c r="AI97" s="100"/>
      <c r="AJ97" s="100"/>
      <c r="AK97" s="27">
        <f>Z97-N97</f>
        <v>25000</v>
      </c>
      <c r="AL97" s="87">
        <f t="shared" si="25"/>
        <v>0</v>
      </c>
      <c r="AM97" s="24"/>
    </row>
    <row r="98" spans="1:39" s="6" customFormat="1" ht="15.75">
      <c r="A98" s="1">
        <v>613</v>
      </c>
      <c r="B98" s="2" t="s">
        <v>47</v>
      </c>
      <c r="C98" s="7">
        <v>76900</v>
      </c>
      <c r="D98" s="18"/>
      <c r="E98" s="3">
        <v>79856</v>
      </c>
      <c r="F98" s="3">
        <v>70044</v>
      </c>
      <c r="G98" s="3">
        <v>33153.9</v>
      </c>
      <c r="H98" s="101" t="e">
        <f>#REF!-#REF!</f>
        <v>#REF!</v>
      </c>
      <c r="I98" s="5" t="e">
        <f>#REF!-F98-G98-#REF!</f>
        <v>#REF!</v>
      </c>
      <c r="J98" s="54">
        <v>98650</v>
      </c>
      <c r="K98" s="85"/>
      <c r="L98" s="8">
        <v>88650</v>
      </c>
      <c r="M98" s="54"/>
      <c r="N98" s="54">
        <f>L98+M98</f>
        <v>88650</v>
      </c>
      <c r="O98" s="54">
        <f t="shared" si="23"/>
        <v>-10000</v>
      </c>
      <c r="P98" s="33"/>
      <c r="Q98" s="33">
        <v>53131.67</v>
      </c>
      <c r="R98" s="33">
        <f>98992+2000+10000</f>
        <v>110992</v>
      </c>
      <c r="S98" s="33">
        <v>110992</v>
      </c>
      <c r="T98" s="96">
        <f t="shared" si="28"/>
        <v>22342</v>
      </c>
      <c r="U98" s="97">
        <f t="shared" si="29"/>
        <v>0.25202481669486754</v>
      </c>
      <c r="V98" s="21"/>
      <c r="W98" s="21"/>
      <c r="X98" s="19">
        <v>0</v>
      </c>
      <c r="Y98" s="19">
        <v>0</v>
      </c>
      <c r="Z98" s="53">
        <v>110992</v>
      </c>
      <c r="AA98" s="98"/>
      <c r="AB98" s="53"/>
      <c r="AC98" s="53">
        <f>Z98-12342</f>
        <v>98650</v>
      </c>
      <c r="AD98" s="53">
        <f t="shared" si="24"/>
        <v>-12342</v>
      </c>
      <c r="AE98" s="53">
        <f t="shared" si="22"/>
        <v>0</v>
      </c>
      <c r="AF98" s="99">
        <v>10000</v>
      </c>
      <c r="AG98" s="99"/>
      <c r="AH98" s="100"/>
      <c r="AI98" s="100"/>
      <c r="AJ98" s="100"/>
      <c r="AK98" s="27">
        <f>Z98-N98</f>
        <v>22342</v>
      </c>
      <c r="AL98" s="87">
        <f t="shared" si="25"/>
        <v>0</v>
      </c>
      <c r="AM98" s="24"/>
    </row>
    <row r="99" spans="1:39" s="6" customFormat="1" ht="15.75">
      <c r="A99" s="1"/>
      <c r="B99" s="2"/>
      <c r="C99" s="7"/>
      <c r="D99" s="18"/>
      <c r="E99" s="3" t="s">
        <v>41</v>
      </c>
      <c r="F99" s="3" t="s">
        <v>41</v>
      </c>
      <c r="G99" s="3"/>
      <c r="H99" s="101" t="s">
        <v>41</v>
      </c>
      <c r="I99" s="5" t="s">
        <v>41</v>
      </c>
      <c r="J99" s="56">
        <f aca="true" t="shared" si="34" ref="J99:Z99">SUM(J96:J98)</f>
        <v>833654</v>
      </c>
      <c r="K99" s="56">
        <f t="shared" si="34"/>
        <v>0</v>
      </c>
      <c r="L99" s="56">
        <f t="shared" si="34"/>
        <v>932034</v>
      </c>
      <c r="M99" s="56">
        <f t="shared" si="34"/>
        <v>0</v>
      </c>
      <c r="N99" s="56">
        <f t="shared" si="34"/>
        <v>806654</v>
      </c>
      <c r="O99" s="54">
        <f t="shared" si="23"/>
        <v>-27000</v>
      </c>
      <c r="P99" s="56">
        <f t="shared" si="34"/>
        <v>0</v>
      </c>
      <c r="Q99" s="56">
        <f t="shared" si="34"/>
        <v>399144.32</v>
      </c>
      <c r="R99" s="56">
        <f t="shared" si="34"/>
        <v>1026819.08</v>
      </c>
      <c r="S99" s="56">
        <f t="shared" si="34"/>
        <v>1026819</v>
      </c>
      <c r="T99" s="56">
        <f t="shared" si="34"/>
        <v>220165</v>
      </c>
      <c r="U99" s="56">
        <f t="shared" si="34"/>
        <v>0.7108497613856717</v>
      </c>
      <c r="V99" s="56">
        <f t="shared" si="34"/>
        <v>0</v>
      </c>
      <c r="W99" s="56">
        <f t="shared" si="34"/>
        <v>0</v>
      </c>
      <c r="X99" s="56">
        <f t="shared" si="34"/>
        <v>0</v>
      </c>
      <c r="Y99" s="56">
        <f t="shared" si="34"/>
        <v>0</v>
      </c>
      <c r="Z99" s="56">
        <f t="shared" si="34"/>
        <v>1026819</v>
      </c>
      <c r="AA99" s="56">
        <f>SUM(AA96:AA98)</f>
        <v>0</v>
      </c>
      <c r="AB99" s="56">
        <f>SUM(AB96:AB98)</f>
        <v>0</v>
      </c>
      <c r="AC99" s="56">
        <f>SUM(AC96:AC98)</f>
        <v>833654</v>
      </c>
      <c r="AD99" s="53">
        <f t="shared" si="24"/>
        <v>-193165</v>
      </c>
      <c r="AE99" s="203">
        <f t="shared" si="22"/>
        <v>0</v>
      </c>
      <c r="AF99" s="26">
        <f>SUM(AF96:AF98)</f>
        <v>27000</v>
      </c>
      <c r="AG99" s="26">
        <f>SUM(AG96:AG98)</f>
        <v>0</v>
      </c>
      <c r="AH99" s="26">
        <f>SUM(AH96:AH98)</f>
        <v>0</v>
      </c>
      <c r="AI99" s="26">
        <f>SUM(AI96:AI98)</f>
        <v>0</v>
      </c>
      <c r="AJ99" s="35"/>
      <c r="AK99" s="35">
        <f>SUM(AK96:AK98)</f>
        <v>220165</v>
      </c>
      <c r="AL99" s="204">
        <f t="shared" si="25"/>
        <v>0</v>
      </c>
      <c r="AM99" s="24"/>
    </row>
    <row r="100" spans="1:39" s="6" customFormat="1" ht="15.75">
      <c r="A100" s="1"/>
      <c r="B100" s="2"/>
      <c r="C100" s="7"/>
      <c r="D100" s="18"/>
      <c r="E100" s="3" t="s">
        <v>41</v>
      </c>
      <c r="F100" s="3" t="s">
        <v>41</v>
      </c>
      <c r="G100" s="3"/>
      <c r="H100" s="101" t="s">
        <v>41</v>
      </c>
      <c r="I100" s="5" t="s">
        <v>41</v>
      </c>
      <c r="J100" s="54" t="s">
        <v>41</v>
      </c>
      <c r="K100" s="85"/>
      <c r="L100" s="8"/>
      <c r="M100" s="54"/>
      <c r="N100" s="54" t="s">
        <v>41</v>
      </c>
      <c r="O100" s="54" t="s">
        <v>41</v>
      </c>
      <c r="P100" s="33"/>
      <c r="Q100" s="33" t="s">
        <v>41</v>
      </c>
      <c r="R100" s="33" t="s">
        <v>41</v>
      </c>
      <c r="S100" s="33" t="s">
        <v>41</v>
      </c>
      <c r="T100" s="96" t="s">
        <v>102</v>
      </c>
      <c r="U100" s="97" t="s">
        <v>41</v>
      </c>
      <c r="V100" s="21"/>
      <c r="W100" s="21"/>
      <c r="X100" s="19" t="str">
        <f>R100</f>
        <v> </v>
      </c>
      <c r="Y100" s="19" t="str">
        <f>S100</f>
        <v> </v>
      </c>
      <c r="Z100" s="53" t="s">
        <v>41</v>
      </c>
      <c r="AA100" s="98"/>
      <c r="AB100" s="53"/>
      <c r="AC100" s="53" t="str">
        <f>Z100</f>
        <v> </v>
      </c>
      <c r="AD100" s="53" t="s">
        <v>41</v>
      </c>
      <c r="AE100" s="53" t="s">
        <v>41</v>
      </c>
      <c r="AF100" s="99"/>
      <c r="AG100" s="99"/>
      <c r="AH100" s="100"/>
      <c r="AI100" s="100"/>
      <c r="AJ100" s="100"/>
      <c r="AK100" s="27"/>
      <c r="AL100" s="87" t="s">
        <v>41</v>
      </c>
      <c r="AM100" s="24"/>
    </row>
    <row r="101" spans="1:39" s="14" customFormat="1" ht="15.75">
      <c r="A101" s="102">
        <v>621</v>
      </c>
      <c r="B101" s="13" t="s">
        <v>48</v>
      </c>
      <c r="C101" s="7">
        <v>718000</v>
      </c>
      <c r="D101" s="18"/>
      <c r="E101" s="3">
        <v>769964</v>
      </c>
      <c r="F101" s="3">
        <v>666873</v>
      </c>
      <c r="G101" s="3">
        <v>244684</v>
      </c>
      <c r="H101" s="103" t="e">
        <f>#REF!-#REF!</f>
        <v>#REF!</v>
      </c>
      <c r="I101" s="5" t="e">
        <f>#REF!-F101-G101-#REF!</f>
        <v>#REF!</v>
      </c>
      <c r="J101" s="54">
        <v>740747</v>
      </c>
      <c r="K101" s="85"/>
      <c r="L101" s="8">
        <v>740747</v>
      </c>
      <c r="M101" s="54">
        <v>0</v>
      </c>
      <c r="N101" s="54">
        <f>L101+M101</f>
        <v>740747</v>
      </c>
      <c r="O101" s="54">
        <f t="shared" si="23"/>
        <v>0</v>
      </c>
      <c r="P101" s="33"/>
      <c r="Q101" s="33">
        <v>473280.67</v>
      </c>
      <c r="R101" s="33">
        <v>740747</v>
      </c>
      <c r="S101" s="33">
        <v>740747</v>
      </c>
      <c r="T101" s="96">
        <f>S101-N101</f>
        <v>0</v>
      </c>
      <c r="U101" s="97">
        <f>S101/N101-1</f>
        <v>0</v>
      </c>
      <c r="V101" s="22"/>
      <c r="W101" s="22"/>
      <c r="X101" s="19">
        <v>0</v>
      </c>
      <c r="Y101" s="19">
        <v>0</v>
      </c>
      <c r="Z101" s="53">
        <v>740747.4</v>
      </c>
      <c r="AA101" s="104"/>
      <c r="AB101" s="53"/>
      <c r="AC101" s="53">
        <v>811058</v>
      </c>
      <c r="AD101" s="53">
        <f t="shared" si="24"/>
        <v>70310.59999999998</v>
      </c>
      <c r="AE101" s="53">
        <f t="shared" si="22"/>
        <v>70311</v>
      </c>
      <c r="AF101" s="99"/>
      <c r="AG101" s="99"/>
      <c r="AH101" s="100"/>
      <c r="AI101" s="100"/>
      <c r="AJ101" s="100"/>
      <c r="AK101" s="27">
        <f>Z101-N101</f>
        <v>0.40000000002328306</v>
      </c>
      <c r="AL101" s="87">
        <f t="shared" si="25"/>
        <v>0.09491904793404493</v>
      </c>
      <c r="AM101" s="24"/>
    </row>
    <row r="102" spans="1:39" s="14" customFormat="1" ht="15.75">
      <c r="A102" s="102">
        <v>622</v>
      </c>
      <c r="B102" s="13" t="s">
        <v>49</v>
      </c>
      <c r="C102" s="7">
        <v>1974942</v>
      </c>
      <c r="D102" s="18"/>
      <c r="E102" s="3">
        <v>2252622</v>
      </c>
      <c r="F102" s="3">
        <v>1931618</v>
      </c>
      <c r="G102" s="3">
        <v>1655607.8</v>
      </c>
      <c r="H102" s="103" t="e">
        <f>#REF!-#REF!</f>
        <v>#REF!</v>
      </c>
      <c r="I102" s="5" t="e">
        <f>#REF!-F102-G102-#REF!</f>
        <v>#REF!</v>
      </c>
      <c r="J102" s="54">
        <v>2226834</v>
      </c>
      <c r="K102" s="85"/>
      <c r="L102" s="8">
        <v>2085000</v>
      </c>
      <c r="M102" s="54">
        <v>0</v>
      </c>
      <c r="N102" s="54">
        <v>2148000</v>
      </c>
      <c r="O102" s="54">
        <f t="shared" si="23"/>
        <v>-78834</v>
      </c>
      <c r="P102" s="33"/>
      <c r="Q102" s="33">
        <v>1099483.64</v>
      </c>
      <c r="R102" s="33">
        <v>2148000</v>
      </c>
      <c r="S102" s="33">
        <v>2148000</v>
      </c>
      <c r="T102" s="111">
        <f>S102-N102</f>
        <v>0</v>
      </c>
      <c r="U102" s="97">
        <f>S102/N102-1</f>
        <v>0</v>
      </c>
      <c r="V102" s="22"/>
      <c r="W102" s="22"/>
      <c r="X102" s="19">
        <v>0</v>
      </c>
      <c r="Y102" s="19">
        <v>0</v>
      </c>
      <c r="Z102" s="53">
        <v>2148000</v>
      </c>
      <c r="AA102" s="104"/>
      <c r="AB102" s="53"/>
      <c r="AC102" s="53">
        <v>2226834</v>
      </c>
      <c r="AD102" s="53">
        <f t="shared" si="24"/>
        <v>78834</v>
      </c>
      <c r="AE102" s="53">
        <f t="shared" si="22"/>
        <v>0</v>
      </c>
      <c r="AF102" s="99"/>
      <c r="AG102" s="99"/>
      <c r="AH102" s="100"/>
      <c r="AI102" s="100"/>
      <c r="AJ102" s="100"/>
      <c r="AK102" s="27">
        <f>Z102-N102</f>
        <v>0</v>
      </c>
      <c r="AL102" s="87">
        <f t="shared" si="25"/>
        <v>0</v>
      </c>
      <c r="AM102" s="24"/>
    </row>
    <row r="103" spans="1:39" s="14" customFormat="1" ht="15.75">
      <c r="A103" s="12"/>
      <c r="B103" s="13"/>
      <c r="C103" s="13"/>
      <c r="D103" s="13"/>
      <c r="E103" s="115">
        <f aca="true" t="shared" si="35" ref="E103:J103">SUM(E101:E102)</f>
        <v>3022586</v>
      </c>
      <c r="F103" s="115">
        <f t="shared" si="35"/>
        <v>2598491</v>
      </c>
      <c r="G103" s="116">
        <f t="shared" si="35"/>
        <v>1900291.8</v>
      </c>
      <c r="H103" s="116" t="e">
        <f t="shared" si="35"/>
        <v>#REF!</v>
      </c>
      <c r="I103" s="116" t="e">
        <f t="shared" si="35"/>
        <v>#REF!</v>
      </c>
      <c r="J103" s="116">
        <f t="shared" si="35"/>
        <v>2967581</v>
      </c>
      <c r="K103" s="116">
        <f aca="true" t="shared" si="36" ref="K103:Z103">SUM(K101:K102)</f>
        <v>0</v>
      </c>
      <c r="L103" s="116">
        <f t="shared" si="36"/>
        <v>2825747</v>
      </c>
      <c r="M103" s="116">
        <f t="shared" si="36"/>
        <v>0</v>
      </c>
      <c r="N103" s="116">
        <f t="shared" si="36"/>
        <v>2888747</v>
      </c>
      <c r="O103" s="54">
        <f t="shared" si="23"/>
        <v>-78834</v>
      </c>
      <c r="P103" s="116">
        <f t="shared" si="36"/>
        <v>0</v>
      </c>
      <c r="Q103" s="116">
        <f t="shared" si="36"/>
        <v>1572764.3099999998</v>
      </c>
      <c r="R103" s="116">
        <f t="shared" si="36"/>
        <v>2888747</v>
      </c>
      <c r="S103" s="116">
        <f t="shared" si="36"/>
        <v>2888747</v>
      </c>
      <c r="T103" s="116">
        <f t="shared" si="36"/>
        <v>0</v>
      </c>
      <c r="U103" s="116">
        <f t="shared" si="36"/>
        <v>0</v>
      </c>
      <c r="V103" s="116">
        <f t="shared" si="36"/>
        <v>0</v>
      </c>
      <c r="W103" s="116">
        <f t="shared" si="36"/>
        <v>0</v>
      </c>
      <c r="X103" s="116">
        <f t="shared" si="36"/>
        <v>0</v>
      </c>
      <c r="Y103" s="116">
        <f t="shared" si="36"/>
        <v>0</v>
      </c>
      <c r="Z103" s="116">
        <f t="shared" si="36"/>
        <v>2888747.4</v>
      </c>
      <c r="AA103" s="116">
        <f>SUM(AA101:AA102)</f>
        <v>0</v>
      </c>
      <c r="AB103" s="116">
        <f>SUM(AB101:AB102)</f>
        <v>0</v>
      </c>
      <c r="AC103" s="116">
        <f>SUM(AC101:AC102)</f>
        <v>3037892</v>
      </c>
      <c r="AD103" s="53">
        <f t="shared" si="24"/>
        <v>149144.6000000001</v>
      </c>
      <c r="AE103" s="203">
        <f t="shared" si="22"/>
        <v>70311</v>
      </c>
      <c r="AF103" s="63">
        <f>SUM(AF101:AF102)</f>
        <v>0</v>
      </c>
      <c r="AG103" s="63">
        <f>SUM(AG101:AG102)</f>
        <v>0</v>
      </c>
      <c r="AH103" s="63">
        <f>SUM(AH101:AH102)</f>
        <v>0</v>
      </c>
      <c r="AI103" s="63">
        <f>SUM(AI101:AI102)</f>
        <v>0</v>
      </c>
      <c r="AJ103" s="20"/>
      <c r="AK103" s="20">
        <f>SUM(AK101:AK102)</f>
        <v>0.40000000002328306</v>
      </c>
      <c r="AL103" s="87">
        <f t="shared" si="25"/>
        <v>0.023693034832073634</v>
      </c>
      <c r="AM103" s="24"/>
    </row>
    <row r="104" spans="1:39" s="14" customFormat="1" ht="15.75">
      <c r="A104" s="12"/>
      <c r="B104" s="13"/>
      <c r="C104" s="7"/>
      <c r="D104" s="18"/>
      <c r="E104" s="3" t="s">
        <v>41</v>
      </c>
      <c r="F104" s="3" t="s">
        <v>41</v>
      </c>
      <c r="G104" s="3"/>
      <c r="H104" s="101" t="s">
        <v>41</v>
      </c>
      <c r="I104" s="5" t="s">
        <v>41</v>
      </c>
      <c r="J104" s="54" t="s">
        <v>41</v>
      </c>
      <c r="K104" s="85"/>
      <c r="L104" s="8"/>
      <c r="M104" s="54"/>
      <c r="N104" s="54" t="s">
        <v>41</v>
      </c>
      <c r="O104" s="54" t="s">
        <v>41</v>
      </c>
      <c r="P104" s="33"/>
      <c r="Q104" s="33" t="s">
        <v>41</v>
      </c>
      <c r="R104" s="33" t="s">
        <v>41</v>
      </c>
      <c r="S104" s="33" t="s">
        <v>41</v>
      </c>
      <c r="T104" s="96" t="s">
        <v>41</v>
      </c>
      <c r="U104" s="97" t="s">
        <v>41</v>
      </c>
      <c r="V104" s="22"/>
      <c r="W104" s="22"/>
      <c r="X104" s="19" t="str">
        <f>R104</f>
        <v> </v>
      </c>
      <c r="Y104" s="19" t="str">
        <f>S104</f>
        <v> </v>
      </c>
      <c r="Z104" s="53" t="s">
        <v>41</v>
      </c>
      <c r="AA104" s="104"/>
      <c r="AB104" s="53"/>
      <c r="AC104" s="53" t="str">
        <f>Z104</f>
        <v> </v>
      </c>
      <c r="AD104" s="53" t="s">
        <v>41</v>
      </c>
      <c r="AE104" s="53" t="s">
        <v>41</v>
      </c>
      <c r="AF104" s="99"/>
      <c r="AG104" s="99"/>
      <c r="AH104" s="100"/>
      <c r="AI104" s="100"/>
      <c r="AJ104" s="100"/>
      <c r="AK104" s="27"/>
      <c r="AL104" s="87" t="s">
        <v>41</v>
      </c>
      <c r="AM104" s="24"/>
    </row>
    <row r="105" spans="1:39" s="14" customFormat="1" ht="15">
      <c r="A105" s="12"/>
      <c r="B105" s="13"/>
      <c r="C105" s="7"/>
      <c r="D105" s="18"/>
      <c r="E105" s="3" t="s">
        <v>41</v>
      </c>
      <c r="F105" s="3" t="s">
        <v>41</v>
      </c>
      <c r="G105" s="3"/>
      <c r="H105" s="101" t="s">
        <v>41</v>
      </c>
      <c r="I105" s="5" t="s">
        <v>41</v>
      </c>
      <c r="J105" s="54" t="s">
        <v>41</v>
      </c>
      <c r="K105" s="85"/>
      <c r="L105" s="8"/>
      <c r="M105" s="54"/>
      <c r="N105" s="54" t="s">
        <v>41</v>
      </c>
      <c r="O105" s="54" t="s">
        <v>41</v>
      </c>
      <c r="P105" s="33"/>
      <c r="Q105" s="33" t="s">
        <v>41</v>
      </c>
      <c r="R105" s="33" t="s">
        <v>41</v>
      </c>
      <c r="S105" s="33" t="s">
        <v>41</v>
      </c>
      <c r="T105" s="96" t="s">
        <v>41</v>
      </c>
      <c r="U105" s="97" t="s">
        <v>41</v>
      </c>
      <c r="V105" s="22"/>
      <c r="W105" s="22"/>
      <c r="X105" s="19" t="str">
        <f>R105</f>
        <v> </v>
      </c>
      <c r="Y105" s="19" t="str">
        <f>S105</f>
        <v> </v>
      </c>
      <c r="Z105" s="53" t="s">
        <v>41</v>
      </c>
      <c r="AA105" s="104"/>
      <c r="AB105" s="53"/>
      <c r="AC105" s="53" t="str">
        <f>Z105</f>
        <v> </v>
      </c>
      <c r="AD105" s="53" t="s">
        <v>41</v>
      </c>
      <c r="AE105" s="53" t="s">
        <v>41</v>
      </c>
      <c r="AF105" s="99"/>
      <c r="AG105" s="99"/>
      <c r="AH105" s="100"/>
      <c r="AI105" s="100"/>
      <c r="AJ105" s="100"/>
      <c r="AK105" s="27"/>
      <c r="AL105" s="87" t="s">
        <v>41</v>
      </c>
      <c r="AM105" s="24"/>
    </row>
    <row r="106" spans="1:39" s="6" customFormat="1" ht="15">
      <c r="A106" s="1">
        <v>623</v>
      </c>
      <c r="B106" s="2" t="s">
        <v>50</v>
      </c>
      <c r="C106" s="7">
        <v>40150</v>
      </c>
      <c r="D106" s="18"/>
      <c r="E106" s="3">
        <v>48258</v>
      </c>
      <c r="F106" s="3">
        <v>44109</v>
      </c>
      <c r="G106" s="3">
        <v>40150</v>
      </c>
      <c r="H106" s="101" t="e">
        <f>#REF!-#REF!</f>
        <v>#REF!</v>
      </c>
      <c r="I106" s="5" t="e">
        <f>#REF!-F106-G106-#REF!</f>
        <v>#REF!</v>
      </c>
      <c r="J106" s="54">
        <v>62200</v>
      </c>
      <c r="K106" s="85"/>
      <c r="L106" s="8">
        <v>50000</v>
      </c>
      <c r="M106" s="54"/>
      <c r="N106" s="54">
        <v>52200</v>
      </c>
      <c r="O106" s="54">
        <f t="shared" si="23"/>
        <v>-10000</v>
      </c>
      <c r="P106" s="33"/>
      <c r="Q106" s="33">
        <v>62953.9</v>
      </c>
      <c r="R106" s="33">
        <v>62200</v>
      </c>
      <c r="S106" s="33">
        <v>62200</v>
      </c>
      <c r="T106" s="96">
        <f>S106-N106</f>
        <v>10000</v>
      </c>
      <c r="U106" s="97">
        <f>S106/N106-1</f>
        <v>0.1915708812260537</v>
      </c>
      <c r="V106" s="21"/>
      <c r="W106" s="21"/>
      <c r="X106" s="19">
        <v>0</v>
      </c>
      <c r="Y106" s="19">
        <v>0</v>
      </c>
      <c r="Z106" s="53">
        <v>62200</v>
      </c>
      <c r="AA106" s="98"/>
      <c r="AB106" s="53"/>
      <c r="AC106" s="53">
        <f>Z106</f>
        <v>62200</v>
      </c>
      <c r="AD106" s="53">
        <f t="shared" si="24"/>
        <v>0</v>
      </c>
      <c r="AE106" s="53">
        <f t="shared" si="22"/>
        <v>0</v>
      </c>
      <c r="AF106" s="99"/>
      <c r="AG106" s="99">
        <v>10000</v>
      </c>
      <c r="AH106" s="100"/>
      <c r="AI106" s="100"/>
      <c r="AJ106" s="100"/>
      <c r="AK106" s="27">
        <f aca="true" t="shared" si="37" ref="AK106:AK111">Z106-N106</f>
        <v>10000</v>
      </c>
      <c r="AL106" s="87">
        <f t="shared" si="25"/>
        <v>0</v>
      </c>
      <c r="AM106" s="24"/>
    </row>
    <row r="107" spans="1:39" s="6" customFormat="1" ht="15">
      <c r="A107" s="1">
        <v>641</v>
      </c>
      <c r="B107" s="2" t="s">
        <v>51</v>
      </c>
      <c r="C107" s="7">
        <v>209462</v>
      </c>
      <c r="D107" s="18"/>
      <c r="E107" s="3">
        <v>214391</v>
      </c>
      <c r="F107" s="3">
        <v>-3891</v>
      </c>
      <c r="G107" s="3">
        <v>131768.67</v>
      </c>
      <c r="H107" s="101" t="e">
        <f>#REF!-#REF!</f>
        <v>#REF!</v>
      </c>
      <c r="I107" s="5" t="e">
        <f>#REF!-F107-G107-#REF!</f>
        <v>#REF!</v>
      </c>
      <c r="J107" s="54">
        <v>84707</v>
      </c>
      <c r="K107" s="85"/>
      <c r="L107" s="8">
        <v>296725</v>
      </c>
      <c r="M107" s="54"/>
      <c r="N107" s="54">
        <v>84707</v>
      </c>
      <c r="O107" s="54">
        <f t="shared" si="23"/>
        <v>0</v>
      </c>
      <c r="P107" s="33"/>
      <c r="Q107" s="33">
        <v>171361.21</v>
      </c>
      <c r="R107" s="33">
        <v>510975.59</v>
      </c>
      <c r="S107" s="33">
        <v>241196</v>
      </c>
      <c r="T107" s="96">
        <f aca="true" t="shared" si="38" ref="T107:T126">S107-N107</f>
        <v>156489</v>
      </c>
      <c r="U107" s="97">
        <f aca="true" t="shared" si="39" ref="U107:U126">S107/N107-1</f>
        <v>1.847415207716009</v>
      </c>
      <c r="V107" s="21"/>
      <c r="W107" s="21"/>
      <c r="X107" s="19">
        <v>0</v>
      </c>
      <c r="Y107" s="19">
        <v>-269780</v>
      </c>
      <c r="Z107" s="53">
        <v>241196</v>
      </c>
      <c r="AA107" s="98"/>
      <c r="AB107" s="53"/>
      <c r="AC107" s="53">
        <v>225000</v>
      </c>
      <c r="AD107" s="53">
        <f t="shared" si="24"/>
        <v>-16196</v>
      </c>
      <c r="AE107" s="53">
        <f t="shared" si="22"/>
        <v>140293</v>
      </c>
      <c r="AF107" s="99">
        <v>0</v>
      </c>
      <c r="AG107" s="99"/>
      <c r="AH107" s="100">
        <v>0</v>
      </c>
      <c r="AI107" s="100"/>
      <c r="AJ107" s="100"/>
      <c r="AK107" s="27">
        <f t="shared" si="37"/>
        <v>156489</v>
      </c>
      <c r="AL107" s="87">
        <f t="shared" si="25"/>
        <v>1.656214952719374</v>
      </c>
      <c r="AM107" s="24"/>
    </row>
    <row r="108" spans="1:39" s="6" customFormat="1" ht="15">
      <c r="A108" s="1">
        <v>642</v>
      </c>
      <c r="B108" s="2" t="s">
        <v>52</v>
      </c>
      <c r="C108" s="7">
        <v>74300</v>
      </c>
      <c r="D108" s="18"/>
      <c r="E108" s="3">
        <v>62733</v>
      </c>
      <c r="F108" s="3">
        <v>65568</v>
      </c>
      <c r="G108" s="3">
        <v>2855.75</v>
      </c>
      <c r="H108" s="101" t="e">
        <f>#REF!-#REF!</f>
        <v>#REF!</v>
      </c>
      <c r="I108" s="5" t="e">
        <f>#REF!-F108-G108-#REF!</f>
        <v>#REF!</v>
      </c>
      <c r="J108" s="54">
        <v>71700</v>
      </c>
      <c r="K108" s="85"/>
      <c r="L108" s="8">
        <v>74300</v>
      </c>
      <c r="M108" s="54"/>
      <c r="N108" s="54">
        <v>65500</v>
      </c>
      <c r="O108" s="54">
        <f t="shared" si="23"/>
        <v>-6200</v>
      </c>
      <c r="P108" s="33"/>
      <c r="Q108" s="33">
        <v>35763.96</v>
      </c>
      <c r="R108" s="33">
        <v>71700</v>
      </c>
      <c r="S108" s="33">
        <v>71700</v>
      </c>
      <c r="T108" s="96">
        <f t="shared" si="38"/>
        <v>6200</v>
      </c>
      <c r="U108" s="97">
        <f t="shared" si="39"/>
        <v>0.09465648854961839</v>
      </c>
      <c r="V108" s="21"/>
      <c r="W108" s="21"/>
      <c r="X108" s="19">
        <v>0</v>
      </c>
      <c r="Y108" s="19">
        <v>0</v>
      </c>
      <c r="Z108" s="53">
        <v>71700</v>
      </c>
      <c r="AA108" s="98"/>
      <c r="AB108" s="53"/>
      <c r="AC108" s="53">
        <v>72550</v>
      </c>
      <c r="AD108" s="53">
        <f t="shared" si="24"/>
        <v>850</v>
      </c>
      <c r="AE108" s="53">
        <f t="shared" si="22"/>
        <v>850</v>
      </c>
      <c r="AF108" s="99">
        <v>6200</v>
      </c>
      <c r="AG108" s="99"/>
      <c r="AH108" s="100"/>
      <c r="AI108" s="100"/>
      <c r="AJ108" s="100"/>
      <c r="AK108" s="27">
        <f t="shared" si="37"/>
        <v>6200</v>
      </c>
      <c r="AL108" s="87">
        <f t="shared" si="25"/>
        <v>0.011854951185495066</v>
      </c>
      <c r="AM108" s="24"/>
    </row>
    <row r="109" spans="1:39" s="6" customFormat="1" ht="15">
      <c r="A109" s="1">
        <v>643</v>
      </c>
      <c r="B109" s="2" t="s">
        <v>53</v>
      </c>
      <c r="C109" s="7">
        <v>5000</v>
      </c>
      <c r="D109" s="18"/>
      <c r="E109" s="3">
        <v>1751</v>
      </c>
      <c r="F109" s="3">
        <v>2264</v>
      </c>
      <c r="G109" s="3">
        <v>67.8</v>
      </c>
      <c r="H109" s="101" t="e">
        <f>#REF!-#REF!</f>
        <v>#REF!</v>
      </c>
      <c r="I109" s="5" t="e">
        <f>#REF!-F109-G109-#REF!</f>
        <v>#REF!</v>
      </c>
      <c r="J109" s="54">
        <v>4820</v>
      </c>
      <c r="K109" s="85"/>
      <c r="L109" s="8">
        <v>5000</v>
      </c>
      <c r="M109" s="54"/>
      <c r="N109" s="54">
        <v>4820</v>
      </c>
      <c r="O109" s="54">
        <f t="shared" si="23"/>
        <v>0</v>
      </c>
      <c r="P109" s="33"/>
      <c r="Q109" s="33">
        <v>781.69</v>
      </c>
      <c r="R109" s="33">
        <v>4920</v>
      </c>
      <c r="S109" s="33">
        <v>4920</v>
      </c>
      <c r="T109" s="96">
        <f t="shared" si="38"/>
        <v>100</v>
      </c>
      <c r="U109" s="97">
        <f t="shared" si="39"/>
        <v>0.020746887966804906</v>
      </c>
      <c r="V109" s="21"/>
      <c r="W109" s="21"/>
      <c r="X109" s="19">
        <v>0</v>
      </c>
      <c r="Y109" s="19">
        <v>0</v>
      </c>
      <c r="Z109" s="53">
        <v>4920</v>
      </c>
      <c r="AA109" s="98"/>
      <c r="AB109" s="53"/>
      <c r="AC109" s="53">
        <v>5000</v>
      </c>
      <c r="AD109" s="53">
        <f t="shared" si="24"/>
        <v>80</v>
      </c>
      <c r="AE109" s="53">
        <f t="shared" si="22"/>
        <v>180</v>
      </c>
      <c r="AF109" s="99">
        <v>0</v>
      </c>
      <c r="AG109" s="99"/>
      <c r="AH109" s="100"/>
      <c r="AI109" s="100"/>
      <c r="AJ109" s="100"/>
      <c r="AK109" s="27">
        <f t="shared" si="37"/>
        <v>100</v>
      </c>
      <c r="AL109" s="87">
        <f t="shared" si="25"/>
        <v>0.03734439834024905</v>
      </c>
      <c r="AM109" s="24"/>
    </row>
    <row r="110" spans="1:39" s="6" customFormat="1" ht="15">
      <c r="A110" s="1">
        <v>644</v>
      </c>
      <c r="B110" s="2" t="s">
        <v>54</v>
      </c>
      <c r="C110" s="7">
        <v>54800</v>
      </c>
      <c r="D110" s="18"/>
      <c r="E110" s="3">
        <v>141736</v>
      </c>
      <c r="F110" s="3">
        <v>109734</v>
      </c>
      <c r="G110" s="3">
        <v>17391.6</v>
      </c>
      <c r="H110" s="101" t="e">
        <f>#REF!-#REF!</f>
        <v>#REF!</v>
      </c>
      <c r="I110" s="5" t="e">
        <f>#REF!-F110-G110-#REF!</f>
        <v>#REF!</v>
      </c>
      <c r="J110" s="54">
        <v>0</v>
      </c>
      <c r="K110" s="85"/>
      <c r="L110" s="8">
        <v>169763</v>
      </c>
      <c r="M110" s="54"/>
      <c r="N110" s="54">
        <v>108731</v>
      </c>
      <c r="O110" s="54">
        <f t="shared" si="23"/>
        <v>108731</v>
      </c>
      <c r="P110" s="33"/>
      <c r="Q110" s="33">
        <v>94232.43</v>
      </c>
      <c r="R110" s="33">
        <v>194654.6</v>
      </c>
      <c r="S110" s="33">
        <v>194655</v>
      </c>
      <c r="T110" s="96">
        <f t="shared" si="38"/>
        <v>85924</v>
      </c>
      <c r="U110" s="97">
        <f t="shared" si="39"/>
        <v>0.7902438127121061</v>
      </c>
      <c r="V110" s="21"/>
      <c r="W110" s="21"/>
      <c r="X110" s="19">
        <v>0</v>
      </c>
      <c r="Y110" s="19">
        <v>0</v>
      </c>
      <c r="Z110" s="53">
        <v>194655</v>
      </c>
      <c r="AA110" s="98"/>
      <c r="AB110" s="53"/>
      <c r="AC110" s="53">
        <f>Z110-61032-43232</f>
        <v>90391</v>
      </c>
      <c r="AD110" s="53">
        <f t="shared" si="24"/>
        <v>-104264</v>
      </c>
      <c r="AE110" s="53">
        <f t="shared" si="22"/>
        <v>90391</v>
      </c>
      <c r="AF110" s="99">
        <v>0</v>
      </c>
      <c r="AG110" s="99">
        <v>-18340</v>
      </c>
      <c r="AH110" s="100">
        <v>0</v>
      </c>
      <c r="AI110" s="100">
        <v>0</v>
      </c>
      <c r="AJ110" s="100"/>
      <c r="AK110" s="27">
        <f t="shared" si="37"/>
        <v>85924</v>
      </c>
      <c r="AL110" s="87" t="e">
        <f t="shared" si="25"/>
        <v>#DIV/0!</v>
      </c>
      <c r="AM110" s="24"/>
    </row>
    <row r="111" spans="1:39" s="6" customFormat="1" ht="15">
      <c r="A111" s="1">
        <v>645</v>
      </c>
      <c r="B111" s="2" t="s">
        <v>55</v>
      </c>
      <c r="C111" s="7">
        <v>104000</v>
      </c>
      <c r="D111" s="18"/>
      <c r="E111" s="3">
        <v>91473</v>
      </c>
      <c r="F111" s="3">
        <v>86912</v>
      </c>
      <c r="G111" s="3">
        <v>0</v>
      </c>
      <c r="H111" s="101" t="e">
        <f>#REF!-#REF!</f>
        <v>#REF!</v>
      </c>
      <c r="I111" s="5" t="e">
        <f>#REF!-F111-G111-#REF!</f>
        <v>#REF!</v>
      </c>
      <c r="J111" s="54">
        <v>0</v>
      </c>
      <c r="K111" s="85"/>
      <c r="L111" s="8">
        <v>99614</v>
      </c>
      <c r="M111" s="54"/>
      <c r="N111" s="54">
        <f>L111+M111</f>
        <v>99614</v>
      </c>
      <c r="O111" s="54">
        <f t="shared" si="23"/>
        <v>99614</v>
      </c>
      <c r="P111" s="33"/>
      <c r="Q111" s="33">
        <v>43693.33</v>
      </c>
      <c r="R111" s="33">
        <v>125201</v>
      </c>
      <c r="S111" s="33">
        <v>125201</v>
      </c>
      <c r="T111" s="96">
        <f t="shared" si="38"/>
        <v>25587</v>
      </c>
      <c r="U111" s="97">
        <f t="shared" si="39"/>
        <v>0.2568614853333868</v>
      </c>
      <c r="V111" s="21"/>
      <c r="W111" s="21"/>
      <c r="X111" s="19">
        <v>0</v>
      </c>
      <c r="Y111" s="19">
        <v>0</v>
      </c>
      <c r="Z111" s="53">
        <v>125201</v>
      </c>
      <c r="AA111" s="98"/>
      <c r="AB111" s="53"/>
      <c r="AC111" s="53">
        <v>112681</v>
      </c>
      <c r="AD111" s="53">
        <f t="shared" si="24"/>
        <v>-12520</v>
      </c>
      <c r="AE111" s="53">
        <f t="shared" si="22"/>
        <v>112681</v>
      </c>
      <c r="AF111" s="99">
        <v>0</v>
      </c>
      <c r="AG111" s="99">
        <v>25587</v>
      </c>
      <c r="AH111" s="100"/>
      <c r="AI111" s="100"/>
      <c r="AJ111" s="100"/>
      <c r="AK111" s="27">
        <f t="shared" si="37"/>
        <v>25587</v>
      </c>
      <c r="AL111" s="87" t="e">
        <f t="shared" si="25"/>
        <v>#DIV/0!</v>
      </c>
      <c r="AM111" s="24"/>
    </row>
    <row r="112" spans="1:39" s="6" customFormat="1" ht="15">
      <c r="A112" s="1"/>
      <c r="B112" s="2"/>
      <c r="C112" s="7"/>
      <c r="D112" s="18"/>
      <c r="E112" s="3"/>
      <c r="F112" s="3"/>
      <c r="G112" s="3"/>
      <c r="H112" s="101"/>
      <c r="I112" s="5"/>
      <c r="J112" s="56">
        <f aca="true" t="shared" si="40" ref="J112:Z112">SUM(J106:J111)</f>
        <v>223427</v>
      </c>
      <c r="K112" s="56">
        <f t="shared" si="40"/>
        <v>0</v>
      </c>
      <c r="L112" s="56">
        <f t="shared" si="40"/>
        <v>695402</v>
      </c>
      <c r="M112" s="56">
        <f t="shared" si="40"/>
        <v>0</v>
      </c>
      <c r="N112" s="56">
        <f t="shared" si="40"/>
        <v>415572</v>
      </c>
      <c r="O112" s="54">
        <f t="shared" si="23"/>
        <v>192145</v>
      </c>
      <c r="P112" s="56">
        <f t="shared" si="40"/>
        <v>0</v>
      </c>
      <c r="Q112" s="56">
        <f t="shared" si="40"/>
        <v>408786.52</v>
      </c>
      <c r="R112" s="56">
        <f t="shared" si="40"/>
        <v>969651.1900000001</v>
      </c>
      <c r="S112" s="56">
        <f t="shared" si="40"/>
        <v>699872</v>
      </c>
      <c r="T112" s="56">
        <f t="shared" si="40"/>
        <v>284300</v>
      </c>
      <c r="U112" s="56">
        <f t="shared" si="40"/>
        <v>3.2014947635039785</v>
      </c>
      <c r="V112" s="56">
        <f t="shared" si="40"/>
        <v>0</v>
      </c>
      <c r="W112" s="56">
        <f t="shared" si="40"/>
        <v>0</v>
      </c>
      <c r="X112" s="56">
        <f t="shared" si="40"/>
        <v>0</v>
      </c>
      <c r="Y112" s="56">
        <f t="shared" si="40"/>
        <v>-269780</v>
      </c>
      <c r="Z112" s="56">
        <f t="shared" si="40"/>
        <v>699872</v>
      </c>
      <c r="AA112" s="56">
        <f>SUM(AA106:AA111)</f>
        <v>0</v>
      </c>
      <c r="AB112" s="56">
        <f>SUM(AB106:AB111)</f>
        <v>0</v>
      </c>
      <c r="AC112" s="56">
        <f>SUM(AC106:AC111)</f>
        <v>567822</v>
      </c>
      <c r="AD112" s="53">
        <f t="shared" si="24"/>
        <v>-132050</v>
      </c>
      <c r="AE112" s="203">
        <f t="shared" si="22"/>
        <v>344395</v>
      </c>
      <c r="AF112" s="26">
        <f>SUM(AF106:AF111)</f>
        <v>6200</v>
      </c>
      <c r="AG112" s="26">
        <f>SUM(AG106:AG111)</f>
        <v>17247</v>
      </c>
      <c r="AH112" s="26">
        <f>SUM(AH106:AH111)</f>
        <v>0</v>
      </c>
      <c r="AI112" s="26">
        <f>SUM(AI106:AI111)</f>
        <v>0</v>
      </c>
      <c r="AJ112" s="35"/>
      <c r="AK112" s="35">
        <f>SUM(AK106:AK111)</f>
        <v>284300</v>
      </c>
      <c r="AL112" s="204">
        <f t="shared" si="25"/>
        <v>1.54142068774141</v>
      </c>
      <c r="AM112" s="24"/>
    </row>
    <row r="113" ht="12.75"/>
    <row r="114" spans="1:39" s="6" customFormat="1" ht="15">
      <c r="A114" s="1"/>
      <c r="B114" s="25" t="s">
        <v>131</v>
      </c>
      <c r="C114" s="18"/>
      <c r="D114" s="18"/>
      <c r="E114" s="3"/>
      <c r="F114" s="3"/>
      <c r="G114" s="3"/>
      <c r="H114" s="101"/>
      <c r="I114" s="5"/>
      <c r="J114" s="56">
        <f aca="true" t="shared" si="41" ref="J114:Z114">J112+J103+J99</f>
        <v>4024662</v>
      </c>
      <c r="K114" s="56">
        <f t="shared" si="41"/>
        <v>0</v>
      </c>
      <c r="L114" s="56">
        <f t="shared" si="41"/>
        <v>4453183</v>
      </c>
      <c r="M114" s="56">
        <f t="shared" si="41"/>
        <v>0</v>
      </c>
      <c r="N114" s="56">
        <f t="shared" si="41"/>
        <v>4110973</v>
      </c>
      <c r="O114" s="54">
        <f t="shared" si="23"/>
        <v>86311</v>
      </c>
      <c r="P114" s="56">
        <f t="shared" si="41"/>
        <v>0</v>
      </c>
      <c r="Q114" s="56">
        <f t="shared" si="41"/>
        <v>2380695.15</v>
      </c>
      <c r="R114" s="56">
        <f t="shared" si="41"/>
        <v>4885217.27</v>
      </c>
      <c r="S114" s="56">
        <f t="shared" si="41"/>
        <v>4615438</v>
      </c>
      <c r="T114" s="56">
        <f t="shared" si="41"/>
        <v>504465</v>
      </c>
      <c r="U114" s="56">
        <f t="shared" si="41"/>
        <v>3.91234452488965</v>
      </c>
      <c r="V114" s="56">
        <f t="shared" si="41"/>
        <v>0</v>
      </c>
      <c r="W114" s="56">
        <f t="shared" si="41"/>
        <v>0</v>
      </c>
      <c r="X114" s="56">
        <f t="shared" si="41"/>
        <v>0</v>
      </c>
      <c r="Y114" s="56">
        <f t="shared" si="41"/>
        <v>-269780</v>
      </c>
      <c r="Z114" s="56">
        <f t="shared" si="41"/>
        <v>4615438.4</v>
      </c>
      <c r="AA114" s="56">
        <f>AA112+AA103+AA99</f>
        <v>0</v>
      </c>
      <c r="AB114" s="56">
        <f>AB112+AB103+AB99</f>
        <v>0</v>
      </c>
      <c r="AC114" s="56">
        <f>AC112+AC103+AC99</f>
        <v>4439368</v>
      </c>
      <c r="AD114" s="53">
        <f t="shared" si="24"/>
        <v>-176070.40000000037</v>
      </c>
      <c r="AE114" s="203">
        <f t="shared" si="22"/>
        <v>414706</v>
      </c>
      <c r="AF114" s="26">
        <f>AF112+AF103+AF99</f>
        <v>33200</v>
      </c>
      <c r="AG114" s="26">
        <f>AG112+AG103+AG99</f>
        <v>17247</v>
      </c>
      <c r="AH114" s="26">
        <f>AH112+AH103+AH99</f>
        <v>0</v>
      </c>
      <c r="AI114" s="26">
        <f>AI112+AI103+AI99</f>
        <v>0</v>
      </c>
      <c r="AJ114" s="35"/>
      <c r="AK114" s="35">
        <f>AK112+AK103+AK99</f>
        <v>504465.4</v>
      </c>
      <c r="AL114" s="204">
        <f t="shared" si="25"/>
        <v>0.1030411994845779</v>
      </c>
      <c r="AM114" s="24"/>
    </row>
    <row r="115" spans="1:39" s="6" customFormat="1" ht="15">
      <c r="A115" s="1"/>
      <c r="B115" s="2"/>
      <c r="C115" s="7"/>
      <c r="D115" s="18"/>
      <c r="E115" s="3"/>
      <c r="F115" s="3"/>
      <c r="G115" s="3"/>
      <c r="H115" s="101"/>
      <c r="I115" s="5"/>
      <c r="J115" s="54"/>
      <c r="K115" s="85"/>
      <c r="L115" s="8"/>
      <c r="M115" s="54"/>
      <c r="N115" s="54"/>
      <c r="O115" s="54">
        <f t="shared" si="23"/>
        <v>0</v>
      </c>
      <c r="P115" s="33"/>
      <c r="Q115" s="33"/>
      <c r="R115" s="33"/>
      <c r="S115" s="33"/>
      <c r="T115" s="96"/>
      <c r="U115" s="97"/>
      <c r="V115" s="21"/>
      <c r="W115" s="21"/>
      <c r="X115" s="19"/>
      <c r="Y115" s="19"/>
      <c r="Z115" s="53"/>
      <c r="AA115" s="98"/>
      <c r="AB115" s="53"/>
      <c r="AC115" s="53" t="s">
        <v>41</v>
      </c>
      <c r="AD115" s="53" t="e">
        <f t="shared" si="24"/>
        <v>#VALUE!</v>
      </c>
      <c r="AE115" s="53" t="s">
        <v>41</v>
      </c>
      <c r="AF115" s="99"/>
      <c r="AG115" s="99"/>
      <c r="AH115" s="100"/>
      <c r="AI115" s="100"/>
      <c r="AJ115" s="100"/>
      <c r="AK115" s="27"/>
      <c r="AL115" s="87" t="s">
        <v>41</v>
      </c>
      <c r="AM115" s="24"/>
    </row>
    <row r="116" spans="1:39" s="6" customFormat="1" ht="15">
      <c r="A116" s="1"/>
      <c r="B116" s="2"/>
      <c r="C116" s="18"/>
      <c r="D116" s="18"/>
      <c r="E116" s="3"/>
      <c r="F116" s="3"/>
      <c r="G116" s="3"/>
      <c r="H116" s="101"/>
      <c r="I116" s="5"/>
      <c r="J116" s="54"/>
      <c r="K116" s="85"/>
      <c r="L116" s="8"/>
      <c r="M116" s="54"/>
      <c r="N116" s="54"/>
      <c r="O116" s="54"/>
      <c r="P116" s="33"/>
      <c r="Q116" s="33"/>
      <c r="R116" s="33"/>
      <c r="S116" s="33"/>
      <c r="T116" s="96"/>
      <c r="U116" s="97"/>
      <c r="V116" s="21"/>
      <c r="W116" s="21"/>
      <c r="X116" s="19"/>
      <c r="Y116" s="19"/>
      <c r="Z116" s="53"/>
      <c r="AA116" s="98"/>
      <c r="AB116" s="53"/>
      <c r="AC116" s="53"/>
      <c r="AD116" s="53"/>
      <c r="AE116" s="53"/>
      <c r="AF116" s="99"/>
      <c r="AG116" s="99"/>
      <c r="AH116" s="100"/>
      <c r="AI116" s="100"/>
      <c r="AJ116" s="100"/>
      <c r="AK116" s="27"/>
      <c r="AL116" s="87"/>
      <c r="AM116" s="24"/>
    </row>
    <row r="117" spans="1:39" s="6" customFormat="1" ht="15">
      <c r="A117" s="210" t="s">
        <v>128</v>
      </c>
      <c r="B117" s="211"/>
      <c r="C117" s="18"/>
      <c r="D117" s="18"/>
      <c r="E117" s="3"/>
      <c r="F117" s="3"/>
      <c r="G117" s="3"/>
      <c r="H117" s="101"/>
      <c r="I117" s="5"/>
      <c r="J117" s="54"/>
      <c r="K117" s="85"/>
      <c r="L117" s="8"/>
      <c r="M117" s="54"/>
      <c r="N117" s="54"/>
      <c r="O117" s="54">
        <f t="shared" si="23"/>
        <v>0</v>
      </c>
      <c r="P117" s="33"/>
      <c r="Q117" s="33"/>
      <c r="R117" s="33"/>
      <c r="S117" s="33"/>
      <c r="T117" s="96"/>
      <c r="U117" s="97"/>
      <c r="V117" s="21"/>
      <c r="W117" s="21"/>
      <c r="X117" s="19"/>
      <c r="Y117" s="19"/>
      <c r="Z117" s="53"/>
      <c r="AA117" s="98"/>
      <c r="AB117" s="53"/>
      <c r="AC117" s="53" t="s">
        <v>41</v>
      </c>
      <c r="AD117" s="53" t="e">
        <f t="shared" si="24"/>
        <v>#VALUE!</v>
      </c>
      <c r="AE117" s="53" t="s">
        <v>41</v>
      </c>
      <c r="AF117" s="99"/>
      <c r="AG117" s="99"/>
      <c r="AH117" s="100"/>
      <c r="AI117" s="100"/>
      <c r="AJ117" s="100"/>
      <c r="AK117" s="27"/>
      <c r="AL117" s="87" t="s">
        <v>41</v>
      </c>
      <c r="AM117" s="24"/>
    </row>
    <row r="118" spans="1:39" s="6" customFormat="1" ht="15">
      <c r="A118" s="1">
        <v>733</v>
      </c>
      <c r="B118" s="2" t="s">
        <v>77</v>
      </c>
      <c r="C118" s="7"/>
      <c r="D118" s="18"/>
      <c r="E118" s="3">
        <v>4522</v>
      </c>
      <c r="F118" s="3">
        <v>2365</v>
      </c>
      <c r="G118" s="3">
        <v>-813.64</v>
      </c>
      <c r="H118" s="101" t="e">
        <f>#REF!-#REF!</f>
        <v>#REF!</v>
      </c>
      <c r="I118" s="5" t="e">
        <f>#REF!-F118-G118-#REF!</f>
        <v>#REF!</v>
      </c>
      <c r="J118" s="54">
        <v>4700</v>
      </c>
      <c r="K118" s="85"/>
      <c r="L118" s="8">
        <v>4700</v>
      </c>
      <c r="M118" s="54"/>
      <c r="N118" s="54">
        <f>L118+M118</f>
        <v>4700</v>
      </c>
      <c r="O118" s="54">
        <f t="shared" si="23"/>
        <v>0</v>
      </c>
      <c r="P118" s="33"/>
      <c r="Q118" s="33">
        <v>2239.88</v>
      </c>
      <c r="R118" s="33">
        <v>4700</v>
      </c>
      <c r="S118" s="33">
        <v>4700</v>
      </c>
      <c r="T118" s="96">
        <f t="shared" si="38"/>
        <v>0</v>
      </c>
      <c r="U118" s="97">
        <f t="shared" si="39"/>
        <v>0</v>
      </c>
      <c r="V118" s="21"/>
      <c r="W118" s="21"/>
      <c r="X118" s="19">
        <v>0</v>
      </c>
      <c r="Y118" s="19">
        <v>0</v>
      </c>
      <c r="Z118" s="53">
        <v>4700</v>
      </c>
      <c r="AA118" s="98"/>
      <c r="AB118" s="53"/>
      <c r="AC118" s="53">
        <v>10000</v>
      </c>
      <c r="AD118" s="53">
        <f t="shared" si="24"/>
        <v>5300</v>
      </c>
      <c r="AE118" s="53">
        <f t="shared" si="22"/>
        <v>5300</v>
      </c>
      <c r="AF118" s="99"/>
      <c r="AG118" s="99"/>
      <c r="AH118" s="100"/>
      <c r="AI118" s="100"/>
      <c r="AJ118" s="100"/>
      <c r="AK118" s="27">
        <f>Z118-N118</f>
        <v>0</v>
      </c>
      <c r="AL118" s="87">
        <f t="shared" si="25"/>
        <v>1.127659574468085</v>
      </c>
      <c r="AM118" s="24"/>
    </row>
    <row r="119" spans="1:39" s="6" customFormat="1" ht="15">
      <c r="A119" s="1">
        <v>734</v>
      </c>
      <c r="B119" s="2" t="s">
        <v>56</v>
      </c>
      <c r="C119" s="7">
        <v>202662</v>
      </c>
      <c r="D119" s="18"/>
      <c r="E119" s="3">
        <v>174767</v>
      </c>
      <c r="F119" s="3">
        <v>-43056</v>
      </c>
      <c r="G119" s="3">
        <v>80681.24</v>
      </c>
      <c r="H119" s="101" t="e">
        <f>#REF!-#REF!</f>
        <v>#REF!</v>
      </c>
      <c r="I119" s="5" t="e">
        <f>#REF!-F119-G119-#REF!</f>
        <v>#REF!</v>
      </c>
      <c r="J119" s="54">
        <v>0</v>
      </c>
      <c r="K119" s="85"/>
      <c r="L119" s="8">
        <v>253947</v>
      </c>
      <c r="M119" s="54"/>
      <c r="N119" s="54">
        <v>88947</v>
      </c>
      <c r="O119" s="54">
        <f t="shared" si="23"/>
        <v>88947</v>
      </c>
      <c r="P119" s="33"/>
      <c r="Q119" s="33">
        <v>85794.52</v>
      </c>
      <c r="R119" s="33">
        <v>292497</v>
      </c>
      <c r="S119" s="33"/>
      <c r="T119" s="96">
        <f t="shared" si="38"/>
        <v>-88947</v>
      </c>
      <c r="U119" s="97">
        <f t="shared" si="39"/>
        <v>-1</v>
      </c>
      <c r="V119" s="21"/>
      <c r="W119" s="21"/>
      <c r="X119" s="19">
        <v>0</v>
      </c>
      <c r="Y119" s="19">
        <v>-87413</v>
      </c>
      <c r="Z119" s="53">
        <v>205084.4</v>
      </c>
      <c r="AA119" s="98"/>
      <c r="AB119" s="53"/>
      <c r="AC119" s="53">
        <v>50000</v>
      </c>
      <c r="AD119" s="53">
        <f t="shared" si="24"/>
        <v>-155084.4</v>
      </c>
      <c r="AE119" s="53">
        <f t="shared" si="22"/>
        <v>50000</v>
      </c>
      <c r="AF119" s="99">
        <v>0</v>
      </c>
      <c r="AG119" s="99">
        <v>0</v>
      </c>
      <c r="AH119" s="100"/>
      <c r="AI119" s="100">
        <f>Z119-N119</f>
        <v>116137.4</v>
      </c>
      <c r="AJ119" s="100"/>
      <c r="AK119" s="27">
        <f>Z119-N119</f>
        <v>116137.4</v>
      </c>
      <c r="AL119" s="87" t="e">
        <f t="shared" si="25"/>
        <v>#DIV/0!</v>
      </c>
      <c r="AM119" s="24"/>
    </row>
    <row r="120" spans="1:39" s="6" customFormat="1" ht="15">
      <c r="A120" s="1">
        <v>735</v>
      </c>
      <c r="B120" s="2" t="s">
        <v>57</v>
      </c>
      <c r="C120" s="7">
        <v>73750</v>
      </c>
      <c r="D120" s="18"/>
      <c r="E120" s="3">
        <v>101947</v>
      </c>
      <c r="F120" s="3">
        <v>87117</v>
      </c>
      <c r="G120" s="3">
        <v>19456.67</v>
      </c>
      <c r="H120" s="101" t="e">
        <f>#REF!-#REF!</f>
        <v>#REF!</v>
      </c>
      <c r="I120" s="5" t="e">
        <f>#REF!-F120-G120-#REF!</f>
        <v>#REF!</v>
      </c>
      <c r="J120" s="54">
        <v>0</v>
      </c>
      <c r="K120" s="85"/>
      <c r="L120" s="8">
        <v>102450</v>
      </c>
      <c r="M120" s="54"/>
      <c r="N120" s="54">
        <v>102450</v>
      </c>
      <c r="O120" s="54">
        <f t="shared" si="23"/>
        <v>102450</v>
      </c>
      <c r="P120" s="33"/>
      <c r="Q120" s="33">
        <v>64439.1</v>
      </c>
      <c r="R120" s="33">
        <v>115300</v>
      </c>
      <c r="S120" s="33">
        <v>115300</v>
      </c>
      <c r="T120" s="96">
        <f t="shared" si="38"/>
        <v>12850</v>
      </c>
      <c r="U120" s="97">
        <f t="shared" si="39"/>
        <v>0.12542703757930695</v>
      </c>
      <c r="V120" s="21"/>
      <c r="W120" s="21"/>
      <c r="X120" s="19">
        <v>0</v>
      </c>
      <c r="Y120" s="19">
        <v>0</v>
      </c>
      <c r="Z120" s="53">
        <v>115300</v>
      </c>
      <c r="AA120" s="98"/>
      <c r="AB120" s="53"/>
      <c r="AC120" s="53">
        <v>87190</v>
      </c>
      <c r="AD120" s="53">
        <f t="shared" si="24"/>
        <v>-28110</v>
      </c>
      <c r="AE120" s="53">
        <f t="shared" si="22"/>
        <v>87190</v>
      </c>
      <c r="AF120" s="99">
        <v>0</v>
      </c>
      <c r="AG120" s="99"/>
      <c r="AH120" s="100"/>
      <c r="AI120" s="100">
        <v>37850</v>
      </c>
      <c r="AJ120" s="100"/>
      <c r="AK120" s="27">
        <f>Z120-N120</f>
        <v>12850</v>
      </c>
      <c r="AL120" s="87" t="e">
        <f t="shared" si="25"/>
        <v>#DIV/0!</v>
      </c>
      <c r="AM120" s="24"/>
    </row>
    <row r="121" spans="1:39" s="6" customFormat="1" ht="15">
      <c r="A121" s="1"/>
      <c r="B121" s="2"/>
      <c r="C121" s="7"/>
      <c r="D121" s="18"/>
      <c r="E121" s="3"/>
      <c r="F121" s="3"/>
      <c r="G121" s="3"/>
      <c r="H121" s="101"/>
      <c r="I121" s="5"/>
      <c r="J121" s="114">
        <f>SUM(J118:J120)</f>
        <v>4700</v>
      </c>
      <c r="K121" s="114">
        <f aca="true" t="shared" si="42" ref="K121:AF121">SUM(K118:K120)</f>
        <v>0</v>
      </c>
      <c r="L121" s="114">
        <f t="shared" si="42"/>
        <v>361097</v>
      </c>
      <c r="M121" s="114">
        <f t="shared" si="42"/>
        <v>0</v>
      </c>
      <c r="N121" s="114">
        <f t="shared" si="42"/>
        <v>196097</v>
      </c>
      <c r="O121" s="54">
        <f t="shared" si="23"/>
        <v>191397</v>
      </c>
      <c r="P121" s="114">
        <f t="shared" si="42"/>
        <v>0</v>
      </c>
      <c r="Q121" s="114">
        <f t="shared" si="42"/>
        <v>152473.5</v>
      </c>
      <c r="R121" s="114">
        <f t="shared" si="42"/>
        <v>412497</v>
      </c>
      <c r="S121" s="114">
        <f t="shared" si="42"/>
        <v>120000</v>
      </c>
      <c r="T121" s="114">
        <f t="shared" si="42"/>
        <v>-76097</v>
      </c>
      <c r="U121" s="114">
        <f t="shared" si="42"/>
        <v>-0.874572962420693</v>
      </c>
      <c r="V121" s="114">
        <f t="shared" si="42"/>
        <v>0</v>
      </c>
      <c r="W121" s="114"/>
      <c r="X121" s="114">
        <f t="shared" si="42"/>
        <v>0</v>
      </c>
      <c r="Y121" s="114">
        <f t="shared" si="42"/>
        <v>-87413</v>
      </c>
      <c r="Z121" s="114">
        <f t="shared" si="42"/>
        <v>325084.4</v>
      </c>
      <c r="AA121" s="114">
        <f>SUM(AA118:AA120)</f>
        <v>0</v>
      </c>
      <c r="AB121" s="114">
        <f>SUM(AB118:AB120)</f>
        <v>0</v>
      </c>
      <c r="AC121" s="114">
        <f>SUM(AC118:AC120)</f>
        <v>147190</v>
      </c>
      <c r="AD121" s="53">
        <f t="shared" si="24"/>
        <v>-177894.40000000002</v>
      </c>
      <c r="AE121" s="203">
        <f t="shared" si="22"/>
        <v>142490</v>
      </c>
      <c r="AF121" s="60">
        <f t="shared" si="42"/>
        <v>0</v>
      </c>
      <c r="AG121" s="60">
        <f>SUM(AG118:AG120)</f>
        <v>0</v>
      </c>
      <c r="AH121" s="60">
        <f>SUM(AH118:AH120)</f>
        <v>0</v>
      </c>
      <c r="AI121" s="60">
        <f>SUM(AI118:AI120)</f>
        <v>153987.4</v>
      </c>
      <c r="AJ121" s="100"/>
      <c r="AK121" s="62">
        <f>SUM(AK118:AK120)</f>
        <v>128987.4</v>
      </c>
      <c r="AL121" s="209">
        <f t="shared" si="25"/>
        <v>30.317021276595746</v>
      </c>
      <c r="AM121" s="24"/>
    </row>
    <row r="122" ht="12.75"/>
    <row r="123" ht="12.75"/>
    <row r="124" spans="1:39" s="6" customFormat="1" ht="15">
      <c r="A124" s="210" t="s">
        <v>58</v>
      </c>
      <c r="B124" s="211"/>
      <c r="C124" s="18"/>
      <c r="D124" s="18"/>
      <c r="E124" s="3"/>
      <c r="F124" s="3"/>
      <c r="G124" s="3"/>
      <c r="H124" s="101"/>
      <c r="I124" s="5"/>
      <c r="J124" s="54"/>
      <c r="K124" s="85"/>
      <c r="L124" s="8"/>
      <c r="M124" s="54"/>
      <c r="N124" s="54"/>
      <c r="O124" s="54">
        <f t="shared" si="23"/>
        <v>0</v>
      </c>
      <c r="P124" s="33"/>
      <c r="Q124" s="33"/>
      <c r="R124" s="33"/>
      <c r="S124" s="33"/>
      <c r="T124" s="96"/>
      <c r="U124" s="97"/>
      <c r="V124" s="21"/>
      <c r="W124" s="21"/>
      <c r="X124" s="19"/>
      <c r="Y124" s="19"/>
      <c r="Z124" s="53"/>
      <c r="AA124" s="98"/>
      <c r="AB124" s="53"/>
      <c r="AC124" s="53">
        <f>Z124</f>
        <v>0</v>
      </c>
      <c r="AD124" s="53">
        <f t="shared" si="24"/>
        <v>0</v>
      </c>
      <c r="AE124" s="53">
        <f t="shared" si="22"/>
        <v>0</v>
      </c>
      <c r="AF124" s="99"/>
      <c r="AG124" s="99"/>
      <c r="AH124" s="100"/>
      <c r="AI124" s="100"/>
      <c r="AJ124" s="100"/>
      <c r="AK124" s="27"/>
      <c r="AL124" s="87" t="s">
        <v>41</v>
      </c>
      <c r="AM124" s="24"/>
    </row>
    <row r="125" spans="1:39" s="6" customFormat="1" ht="15">
      <c r="A125" s="1">
        <v>810</v>
      </c>
      <c r="B125" s="2" t="s">
        <v>58</v>
      </c>
      <c r="C125" s="7">
        <v>47860</v>
      </c>
      <c r="D125" s="18"/>
      <c r="E125" s="3">
        <v>37310</v>
      </c>
      <c r="F125" s="3">
        <v>43053</v>
      </c>
      <c r="G125" s="3">
        <v>7935.95</v>
      </c>
      <c r="H125" s="101" t="e">
        <f>#REF!-#REF!</f>
        <v>#REF!</v>
      </c>
      <c r="I125" s="5" t="e">
        <f>#REF!-F125-G125-#REF!</f>
        <v>#REF!</v>
      </c>
      <c r="J125" s="54">
        <v>43053</v>
      </c>
      <c r="K125" s="85"/>
      <c r="L125" s="8">
        <v>43053</v>
      </c>
      <c r="M125" s="54"/>
      <c r="N125" s="54">
        <f>L125+M125</f>
        <v>43053</v>
      </c>
      <c r="O125" s="54">
        <f t="shared" si="23"/>
        <v>0</v>
      </c>
      <c r="P125" s="33"/>
      <c r="Q125" s="33">
        <v>38838.1</v>
      </c>
      <c r="R125" s="33">
        <v>43053</v>
      </c>
      <c r="S125" s="33">
        <v>43053</v>
      </c>
      <c r="T125" s="96">
        <f t="shared" si="38"/>
        <v>0</v>
      </c>
      <c r="U125" s="97">
        <f t="shared" si="39"/>
        <v>0</v>
      </c>
      <c r="V125" s="21"/>
      <c r="W125" s="21"/>
      <c r="X125" s="19">
        <v>0</v>
      </c>
      <c r="Y125" s="19">
        <v>0</v>
      </c>
      <c r="Z125" s="53">
        <v>43053</v>
      </c>
      <c r="AA125" s="98"/>
      <c r="AB125" s="53"/>
      <c r="AC125" s="53">
        <v>56332</v>
      </c>
      <c r="AD125" s="53">
        <f t="shared" si="24"/>
        <v>13279</v>
      </c>
      <c r="AE125" s="53">
        <f t="shared" si="22"/>
        <v>13279</v>
      </c>
      <c r="AF125" s="99"/>
      <c r="AG125" s="99"/>
      <c r="AH125" s="100"/>
      <c r="AI125" s="100"/>
      <c r="AJ125" s="100"/>
      <c r="AK125" s="27">
        <f>Z125-N125</f>
        <v>0</v>
      </c>
      <c r="AL125" s="87">
        <f t="shared" si="25"/>
        <v>0.3084337909088797</v>
      </c>
      <c r="AM125" s="24"/>
    </row>
    <row r="126" spans="1:39" s="6" customFormat="1" ht="21">
      <c r="A126" s="1">
        <v>811</v>
      </c>
      <c r="B126" s="2" t="s">
        <v>63</v>
      </c>
      <c r="C126" s="18">
        <v>75000</v>
      </c>
      <c r="D126" s="18"/>
      <c r="E126" s="3">
        <v>83813</v>
      </c>
      <c r="F126" s="3">
        <v>75000</v>
      </c>
      <c r="G126" s="3">
        <v>0</v>
      </c>
      <c r="H126" s="101" t="e">
        <f>#REF!-#REF!</f>
        <v>#REF!</v>
      </c>
      <c r="I126" s="5" t="e">
        <f>#REF!-F126-G126-#REF!</f>
        <v>#REF!</v>
      </c>
      <c r="J126" s="54">
        <v>96000</v>
      </c>
      <c r="K126" s="85"/>
      <c r="L126" s="19">
        <v>75000</v>
      </c>
      <c r="M126" s="54">
        <v>0</v>
      </c>
      <c r="N126" s="54">
        <f>L126+M126</f>
        <v>75000</v>
      </c>
      <c r="O126" s="54">
        <f t="shared" si="23"/>
        <v>-21000</v>
      </c>
      <c r="P126" s="33"/>
      <c r="Q126" s="33">
        <v>75000</v>
      </c>
      <c r="R126" s="33">
        <v>96000</v>
      </c>
      <c r="S126" s="33">
        <v>96000</v>
      </c>
      <c r="T126" s="96">
        <f t="shared" si="38"/>
        <v>21000</v>
      </c>
      <c r="U126" s="97">
        <f t="shared" si="39"/>
        <v>0.28</v>
      </c>
      <c r="V126" s="117" t="s">
        <v>115</v>
      </c>
      <c r="W126" s="22"/>
      <c r="X126" s="19">
        <v>0</v>
      </c>
      <c r="Y126" s="19">
        <v>0</v>
      </c>
      <c r="Z126" s="53">
        <v>96000</v>
      </c>
      <c r="AA126" s="98"/>
      <c r="AB126" s="53"/>
      <c r="AC126" s="53">
        <v>0</v>
      </c>
      <c r="AD126" s="53">
        <f t="shared" si="24"/>
        <v>-96000</v>
      </c>
      <c r="AE126" s="53">
        <f t="shared" si="22"/>
        <v>-96000</v>
      </c>
      <c r="AF126" s="99">
        <v>21000</v>
      </c>
      <c r="AG126" s="99">
        <v>0</v>
      </c>
      <c r="AH126" s="100"/>
      <c r="AI126" s="100"/>
      <c r="AJ126" s="100"/>
      <c r="AK126" s="27">
        <f>Z126-N126</f>
        <v>21000</v>
      </c>
      <c r="AL126" s="87">
        <f t="shared" si="25"/>
        <v>-1</v>
      </c>
      <c r="AM126" s="24"/>
    </row>
    <row r="127" spans="1:39" s="6" customFormat="1" ht="15">
      <c r="A127" s="1"/>
      <c r="B127" s="2"/>
      <c r="C127" s="18"/>
      <c r="D127" s="18"/>
      <c r="E127" s="3"/>
      <c r="F127" s="3"/>
      <c r="G127" s="3"/>
      <c r="H127" s="101"/>
      <c r="I127" s="5"/>
      <c r="J127" s="56">
        <f>SUM(J125:J126)</f>
        <v>139053</v>
      </c>
      <c r="K127" s="56">
        <f aca="true" t="shared" si="43" ref="K127:AF127">SUM(K125:K126)</f>
        <v>0</v>
      </c>
      <c r="L127" s="56">
        <f t="shared" si="43"/>
        <v>118053</v>
      </c>
      <c r="M127" s="56">
        <f t="shared" si="43"/>
        <v>0</v>
      </c>
      <c r="N127" s="56">
        <f t="shared" si="43"/>
        <v>118053</v>
      </c>
      <c r="O127" s="54">
        <f t="shared" si="23"/>
        <v>-21000</v>
      </c>
      <c r="P127" s="56">
        <f t="shared" si="43"/>
        <v>0</v>
      </c>
      <c r="Q127" s="56">
        <f t="shared" si="43"/>
        <v>113838.1</v>
      </c>
      <c r="R127" s="56">
        <f t="shared" si="43"/>
        <v>139053</v>
      </c>
      <c r="S127" s="56">
        <f t="shared" si="43"/>
        <v>139053</v>
      </c>
      <c r="T127" s="56">
        <f t="shared" si="43"/>
        <v>21000</v>
      </c>
      <c r="U127" s="56">
        <f t="shared" si="43"/>
        <v>0.28</v>
      </c>
      <c r="V127" s="56">
        <f t="shared" si="43"/>
        <v>0</v>
      </c>
      <c r="W127" s="56"/>
      <c r="X127" s="56">
        <f t="shared" si="43"/>
        <v>0</v>
      </c>
      <c r="Y127" s="56">
        <f t="shared" si="43"/>
        <v>0</v>
      </c>
      <c r="Z127" s="56">
        <f t="shared" si="43"/>
        <v>139053</v>
      </c>
      <c r="AA127" s="56">
        <f>SUM(AA125:AA126)</f>
        <v>0</v>
      </c>
      <c r="AB127" s="56">
        <f>SUM(AB125:AB126)</f>
        <v>0</v>
      </c>
      <c r="AC127" s="56">
        <f>SUM(AC125:AC126)</f>
        <v>56332</v>
      </c>
      <c r="AD127" s="56">
        <f>SUM(AD125:AD126)</f>
        <v>-82721</v>
      </c>
      <c r="AE127" s="203">
        <f t="shared" si="22"/>
        <v>-82721</v>
      </c>
      <c r="AF127" s="26">
        <f t="shared" si="43"/>
        <v>21000</v>
      </c>
      <c r="AG127" s="26">
        <f>SUM(AG125:AG126)</f>
        <v>0</v>
      </c>
      <c r="AH127" s="26">
        <f>SUM(AH125:AH126)</f>
        <v>0</v>
      </c>
      <c r="AI127" s="26">
        <f>SUM(AI125:AI126)</f>
        <v>0</v>
      </c>
      <c r="AJ127" s="100"/>
      <c r="AK127" s="35">
        <f>SUM(AK125:AK126)</f>
        <v>21000</v>
      </c>
      <c r="AL127" s="204">
        <f t="shared" si="25"/>
        <v>-0.5948882800083422</v>
      </c>
      <c r="AM127" s="24"/>
    </row>
    <row r="128" spans="1:39" s="6" customFormat="1" ht="15">
      <c r="A128" s="1"/>
      <c r="B128" s="2"/>
      <c r="C128" s="18"/>
      <c r="D128" s="18"/>
      <c r="E128" s="3"/>
      <c r="F128" s="3"/>
      <c r="G128" s="3"/>
      <c r="H128" s="101"/>
      <c r="I128" s="5"/>
      <c r="J128" s="54"/>
      <c r="K128" s="85"/>
      <c r="L128" s="19"/>
      <c r="M128" s="54"/>
      <c r="N128" s="54"/>
      <c r="O128" s="54">
        <f t="shared" si="23"/>
        <v>0</v>
      </c>
      <c r="P128" s="33"/>
      <c r="Q128" s="33"/>
      <c r="R128" s="33"/>
      <c r="S128" s="33"/>
      <c r="T128" s="96"/>
      <c r="U128" s="97"/>
      <c r="V128" s="22"/>
      <c r="W128" s="22"/>
      <c r="X128" s="19"/>
      <c r="Y128" s="19"/>
      <c r="Z128" s="53"/>
      <c r="AA128" s="98"/>
      <c r="AB128" s="53"/>
      <c r="AC128" s="53">
        <f>Z128</f>
        <v>0</v>
      </c>
      <c r="AD128" s="53">
        <f t="shared" si="24"/>
        <v>0</v>
      </c>
      <c r="AE128" s="53">
        <f t="shared" si="22"/>
        <v>0</v>
      </c>
      <c r="AF128" s="99"/>
      <c r="AG128" s="99"/>
      <c r="AH128" s="100"/>
      <c r="AI128" s="100"/>
      <c r="AJ128" s="100"/>
      <c r="AK128" s="27"/>
      <c r="AL128" s="87" t="s">
        <v>41</v>
      </c>
      <c r="AM128" s="24"/>
    </row>
    <row r="129" spans="1:39" ht="15">
      <c r="A129" s="105"/>
      <c r="C129" s="17">
        <f>SUM(C8:C126)-C24-C64-C80-C84-C103</f>
        <v>79014000</v>
      </c>
      <c r="D129" s="17">
        <f>SUM(D8:D126)-D24-D64-D80-D84-D103</f>
        <v>0</v>
      </c>
      <c r="E129" s="17">
        <f>SUM(E8:E126)-E24-E64-E80-E84-E103</f>
        <v>82383906.62</v>
      </c>
      <c r="F129" s="17">
        <f>SUM(F8:F126)-F24-F64-F80-F84-F103</f>
        <v>83788605.53</v>
      </c>
      <c r="G129" s="17">
        <f>SUM(G8:G126)-G24-G64-G80-G84-G103</f>
        <v>5157138.48</v>
      </c>
      <c r="H129" s="118" t="e">
        <f>#REF!-#REF!</f>
        <v>#REF!</v>
      </c>
      <c r="I129" s="5" t="e">
        <f>#REF!-F129-G129-#REF!</f>
        <v>#REF!</v>
      </c>
      <c r="J129" s="119">
        <f aca="true" t="shared" si="44" ref="J129:AI129">SUM(J8:J126)-J24-J64-J84-J103-J99-J37-J72-J45-J55-J80-J91-J92-J112-J114-J121</f>
        <v>83120625</v>
      </c>
      <c r="K129" s="119">
        <f t="shared" si="44"/>
        <v>0</v>
      </c>
      <c r="L129" s="119">
        <f t="shared" si="44"/>
        <v>81400001</v>
      </c>
      <c r="M129" s="119">
        <f t="shared" si="44"/>
        <v>170000</v>
      </c>
      <c r="N129" s="119">
        <f t="shared" si="44"/>
        <v>81650000</v>
      </c>
      <c r="O129" s="18">
        <f t="shared" si="23"/>
        <v>-1470625</v>
      </c>
      <c r="P129" s="17">
        <f t="shared" si="44"/>
        <v>0</v>
      </c>
      <c r="Q129" s="17">
        <f t="shared" si="44"/>
        <v>36208089.68599996</v>
      </c>
      <c r="R129" s="17">
        <f t="shared" si="44"/>
        <v>86492835.22400005</v>
      </c>
      <c r="S129" s="17">
        <f t="shared" si="44"/>
        <v>85586421.01999998</v>
      </c>
      <c r="T129" s="17">
        <f t="shared" si="44"/>
        <v>3936421.0199999996</v>
      </c>
      <c r="U129" s="17">
        <f t="shared" si="44"/>
        <v>26.127160522061846</v>
      </c>
      <c r="V129" s="17" t="s">
        <v>41</v>
      </c>
      <c r="W129" s="17"/>
      <c r="X129" s="17">
        <f t="shared" si="44"/>
        <v>-900000</v>
      </c>
      <c r="Y129" s="17">
        <f>SUM(Y8:Y126)-Y24-Y64-Y84-Y103-Y99-Y37-Y72-Y45-Y55-Y80-Y91-Y92-Y112-Y114-Y121</f>
        <v>-620566</v>
      </c>
      <c r="Z129" s="17">
        <f t="shared" si="44"/>
        <v>84891504.60000004</v>
      </c>
      <c r="AA129" s="17">
        <f t="shared" si="44"/>
        <v>0</v>
      </c>
      <c r="AB129" s="17">
        <f t="shared" si="44"/>
        <v>0</v>
      </c>
      <c r="AC129" s="17">
        <f t="shared" si="44"/>
        <v>85826552.438</v>
      </c>
      <c r="AD129" s="65">
        <f t="shared" si="24"/>
        <v>935047.8379999548</v>
      </c>
      <c r="AE129" s="65">
        <f t="shared" si="22"/>
        <v>2705927.4379999936</v>
      </c>
      <c r="AF129" s="120">
        <f t="shared" si="44"/>
        <v>146254</v>
      </c>
      <c r="AG129" s="60">
        <f t="shared" si="44"/>
        <v>2446174</v>
      </c>
      <c r="AH129" s="60">
        <f t="shared" si="44"/>
        <v>0</v>
      </c>
      <c r="AI129" s="60">
        <f t="shared" si="44"/>
        <v>153987.4</v>
      </c>
      <c r="AJ129" s="121"/>
      <c r="AK129" s="122">
        <f>SUM(AK8:AK126)-AK24-AK64-AK84-AK103-AK99-AK37-AK72-AK45-AK55-AK80-AK91-AK92-AK112-AK114-AK121</f>
        <v>3241504.600000003</v>
      </c>
      <c r="AL129" s="66">
        <f t="shared" si="25"/>
        <v>0.032554223912536706</v>
      </c>
      <c r="AM129" s="24"/>
    </row>
    <row r="130" spans="3:39" ht="15">
      <c r="C130" s="123"/>
      <c r="D130" s="124"/>
      <c r="E130" s="125" t="s">
        <v>41</v>
      </c>
      <c r="F130" s="125" t="s">
        <v>41</v>
      </c>
      <c r="G130" s="126"/>
      <c r="I130" s="5" t="s">
        <v>41</v>
      </c>
      <c r="J130"/>
      <c r="K130" s="85"/>
      <c r="L130" s="127"/>
      <c r="M130" s="124"/>
      <c r="N130" s="124"/>
      <c r="O130" s="54">
        <f t="shared" si="23"/>
        <v>0</v>
      </c>
      <c r="P130" s="128"/>
      <c r="Q130" s="129" t="s">
        <v>41</v>
      </c>
      <c r="R130" s="68">
        <f>R129/N129-1</f>
        <v>0.05931212766687133</v>
      </c>
      <c r="S130" s="68" t="e">
        <f>S129/P129-1</f>
        <v>#DIV/0!</v>
      </c>
      <c r="T130" s="130" t="s">
        <v>41</v>
      </c>
      <c r="U130" s="131" t="s">
        <v>41</v>
      </c>
      <c r="X130" s="19" t="s">
        <v>41</v>
      </c>
      <c r="Y130" s="19">
        <f>Y129+X129</f>
        <v>-1520566</v>
      </c>
      <c r="Z130" s="67">
        <f>Z129/N129-1</f>
        <v>0.039699995101041496</v>
      </c>
      <c r="AA130" s="67">
        <f>AA129/O129-1</f>
        <v>-1</v>
      </c>
      <c r="AB130" s="67" t="e">
        <f>AB129/P129-1</f>
        <v>#DIV/0!</v>
      </c>
      <c r="AC130" s="67">
        <f>AC129/J129-1</f>
        <v>0.032554223912536706</v>
      </c>
      <c r="AD130" s="53">
        <f t="shared" si="24"/>
        <v>-0.00714577118850479</v>
      </c>
      <c r="AE130" s="27" t="s">
        <v>41</v>
      </c>
      <c r="AF130" s="69">
        <f>AF129/X132</f>
        <v>0.0017912308634415186</v>
      </c>
      <c r="AG130" s="69">
        <f>AG129/X132</f>
        <v>0.029959265156154317</v>
      </c>
      <c r="AH130" s="70">
        <f>AH129/X132</f>
        <v>0</v>
      </c>
      <c r="AI130" s="70">
        <f>AI129/X132</f>
        <v>0.0018859448867115738</v>
      </c>
      <c r="AJ130" s="71"/>
      <c r="AK130" s="72"/>
      <c r="AL130" s="73" t="s">
        <v>41</v>
      </c>
      <c r="AM130" s="24"/>
    </row>
    <row r="131" spans="3:39" ht="15">
      <c r="C131" s="123"/>
      <c r="D131" s="124"/>
      <c r="E131" s="125"/>
      <c r="F131" s="125"/>
      <c r="G131" s="126"/>
      <c r="I131" s="5"/>
      <c r="J131" s="74"/>
      <c r="K131" s="85"/>
      <c r="L131" s="127"/>
      <c r="M131" s="124"/>
      <c r="N131" s="124"/>
      <c r="O131" s="54" t="s">
        <v>41</v>
      </c>
      <c r="P131" s="128"/>
      <c r="Q131" s="129"/>
      <c r="R131" s="68"/>
      <c r="S131" s="68"/>
      <c r="T131" s="130"/>
      <c r="U131" s="131"/>
      <c r="X131" s="19"/>
      <c r="Y131" s="19"/>
      <c r="Z131" s="74"/>
      <c r="AA131" s="81"/>
      <c r="AB131" s="75"/>
      <c r="AC131" s="27">
        <v>85826552</v>
      </c>
      <c r="AD131" s="27">
        <f t="shared" si="24"/>
        <v>85826552</v>
      </c>
      <c r="AE131" s="27">
        <f t="shared" si="22"/>
        <v>85826552</v>
      </c>
      <c r="AF131" s="132" t="s">
        <v>41</v>
      </c>
      <c r="AG131" s="132" t="s">
        <v>41</v>
      </c>
      <c r="AH131" s="74"/>
      <c r="AI131" s="74"/>
      <c r="AJ131" s="74"/>
      <c r="AK131" s="74"/>
      <c r="AL131" s="88" t="s">
        <v>41</v>
      </c>
      <c r="AM131" s="133"/>
    </row>
    <row r="132" spans="3:39" ht="15.75" thickBot="1">
      <c r="C132" s="123"/>
      <c r="D132" s="124"/>
      <c r="E132" s="125"/>
      <c r="F132" s="125"/>
      <c r="G132" s="126"/>
      <c r="I132" s="5"/>
      <c r="J132" s="76" t="s">
        <v>41</v>
      </c>
      <c r="K132" s="85"/>
      <c r="L132" s="127"/>
      <c r="M132" s="124"/>
      <c r="N132" s="124"/>
      <c r="O132" s="54" t="s">
        <v>41</v>
      </c>
      <c r="P132" s="128"/>
      <c r="Q132" s="129"/>
      <c r="R132" s="128"/>
      <c r="S132" s="128"/>
      <c r="T132" s="96"/>
      <c r="U132" s="97"/>
      <c r="X132" s="19">
        <v>81650000</v>
      </c>
      <c r="Y132" s="19">
        <v>84891505</v>
      </c>
      <c r="Z132" s="134">
        <f>Z129-N129</f>
        <v>3241504.6000000387</v>
      </c>
      <c r="AA132" s="81"/>
      <c r="AB132" s="77"/>
      <c r="AC132" s="64">
        <f>AC129-J129</f>
        <v>2705927.4379999936</v>
      </c>
      <c r="AD132" s="27">
        <f t="shared" si="24"/>
        <v>-535577.1620000452</v>
      </c>
      <c r="AE132" s="27" t="s">
        <v>41</v>
      </c>
      <c r="AF132" s="135"/>
      <c r="AG132" s="135" t="s">
        <v>41</v>
      </c>
      <c r="AH132" s="136"/>
      <c r="AI132" s="136"/>
      <c r="AJ132" s="136"/>
      <c r="AK132" s="136"/>
      <c r="AL132" s="88" t="s">
        <v>41</v>
      </c>
      <c r="AM132" s="133"/>
    </row>
    <row r="133" spans="2:38" ht="15">
      <c r="B133" s="92" t="s">
        <v>8</v>
      </c>
      <c r="C133" s="137">
        <v>79115000</v>
      </c>
      <c r="D133" s="137">
        <v>0</v>
      </c>
      <c r="E133" s="78">
        <v>80300000</v>
      </c>
      <c r="F133" s="78">
        <v>81400000</v>
      </c>
      <c r="G133" s="78">
        <v>4972136.48</v>
      </c>
      <c r="H133" s="138" t="e">
        <f>H129</f>
        <v>#REF!</v>
      </c>
      <c r="I133" s="5" t="e">
        <f>#REF!-F133-G133-#REF!</f>
        <v>#REF!</v>
      </c>
      <c r="J133" s="78">
        <v>83120625</v>
      </c>
      <c r="K133" s="85"/>
      <c r="L133" s="137">
        <v>81400000</v>
      </c>
      <c r="M133" s="137">
        <v>0</v>
      </c>
      <c r="N133" s="78">
        <v>81650000</v>
      </c>
      <c r="O133" s="18">
        <f t="shared" si="23"/>
        <v>-1470625</v>
      </c>
      <c r="P133" s="139"/>
      <c r="Q133" s="139">
        <v>36208090.56</v>
      </c>
      <c r="R133" s="139">
        <v>0</v>
      </c>
      <c r="S133" s="139">
        <v>0</v>
      </c>
      <c r="T133" s="130">
        <f>R133-N133</f>
        <v>-81650000</v>
      </c>
      <c r="U133" s="131">
        <f>R133/N133-1</f>
        <v>-1</v>
      </c>
      <c r="X133" s="19">
        <f>R133</f>
        <v>0</v>
      </c>
      <c r="Y133" s="19">
        <f>Y132-Z129</f>
        <v>0.3999999612569809</v>
      </c>
      <c r="Z133" s="53">
        <f>R133+X133</f>
        <v>0</v>
      </c>
      <c r="AA133" s="81"/>
      <c r="AB133" s="27"/>
      <c r="AC133" s="140" t="s">
        <v>41</v>
      </c>
      <c r="AD133" s="27">
        <f>Z134-AC134</f>
        <v>-935047.4379999936</v>
      </c>
      <c r="AE133" s="27" t="s">
        <v>41</v>
      </c>
      <c r="AF133" s="141"/>
      <c r="AG133" s="141" t="s">
        <v>41</v>
      </c>
      <c r="AH133" s="53"/>
      <c r="AI133" s="53"/>
      <c r="AJ133" s="53"/>
      <c r="AK133" s="53"/>
      <c r="AL133" s="88" t="s">
        <v>41</v>
      </c>
    </row>
    <row r="134" spans="2:39" ht="15">
      <c r="B134" s="106" t="s">
        <v>71</v>
      </c>
      <c r="C134" s="142">
        <f aca="true" t="shared" si="45" ref="C134:H134">C133-C129</f>
        <v>101000</v>
      </c>
      <c r="D134" s="142">
        <f t="shared" si="45"/>
        <v>0</v>
      </c>
      <c r="E134" s="143">
        <f t="shared" si="45"/>
        <v>-2083906.6200000048</v>
      </c>
      <c r="F134" s="143">
        <f t="shared" si="45"/>
        <v>-2388605.530000001</v>
      </c>
      <c r="G134" s="144">
        <f t="shared" si="45"/>
        <v>-185002</v>
      </c>
      <c r="H134" s="145" t="e">
        <f t="shared" si="45"/>
        <v>#REF!</v>
      </c>
      <c r="I134" s="5" t="e">
        <f>#REF!-F134-G134-#REF!</f>
        <v>#REF!</v>
      </c>
      <c r="J134" s="144">
        <f>J129-J133</f>
        <v>0</v>
      </c>
      <c r="K134" s="85"/>
      <c r="L134" s="146">
        <f>L133-L129</f>
        <v>-1</v>
      </c>
      <c r="M134" s="79"/>
      <c r="N134" s="79">
        <f>N129-N133</f>
        <v>0</v>
      </c>
      <c r="O134" s="54">
        <f t="shared" si="23"/>
        <v>0</v>
      </c>
      <c r="P134" s="147"/>
      <c r="Q134" s="147">
        <f>Q133-Q129</f>
        <v>0.8740000426769257</v>
      </c>
      <c r="R134" s="147">
        <f>R129-R133</f>
        <v>86492835.22400005</v>
      </c>
      <c r="S134" s="147">
        <f>S129-S133</f>
        <v>85586421.01999998</v>
      </c>
      <c r="T134" s="96">
        <f>R134-N134</f>
        <v>86492835.22400005</v>
      </c>
      <c r="U134" s="97" t="e">
        <f>R134/N134-1</f>
        <v>#DIV/0!</v>
      </c>
      <c r="X134" s="19">
        <v>0</v>
      </c>
      <c r="Y134" s="19"/>
      <c r="Z134" s="53">
        <v>84891505</v>
      </c>
      <c r="AA134" s="81"/>
      <c r="AB134" s="27"/>
      <c r="AC134" s="27">
        <f>AC129</f>
        <v>85826552.438</v>
      </c>
      <c r="AD134" s="27">
        <f t="shared" si="24"/>
        <v>935047.4379999936</v>
      </c>
      <c r="AE134" s="27">
        <f t="shared" si="22"/>
        <v>85826552.438</v>
      </c>
      <c r="AF134" s="141"/>
      <c r="AG134" s="141"/>
      <c r="AH134" s="53" t="s">
        <v>41</v>
      </c>
      <c r="AI134" s="148">
        <f>AF129+AG129+AH129+AI129</f>
        <v>2746415.4</v>
      </c>
      <c r="AJ134" s="53"/>
      <c r="AK134" s="53"/>
      <c r="AL134" s="149"/>
      <c r="AM134" s="150">
        <f>J129+AF129+AG129+AH129+AI129</f>
        <v>85867040.4</v>
      </c>
    </row>
    <row r="135" spans="3:39" ht="15.75" thickBot="1">
      <c r="C135" s="151"/>
      <c r="D135" s="80"/>
      <c r="E135" s="152"/>
      <c r="F135" s="152"/>
      <c r="G135" s="153"/>
      <c r="I135" s="5" t="s">
        <v>41</v>
      </c>
      <c r="J135" s="153"/>
      <c r="K135" s="85"/>
      <c r="L135" s="154"/>
      <c r="M135" s="80"/>
      <c r="N135" s="80"/>
      <c r="O135" s="54">
        <f t="shared" si="23"/>
        <v>0</v>
      </c>
      <c r="P135" s="128"/>
      <c r="Q135" s="155"/>
      <c r="R135" s="155"/>
      <c r="S135" s="155"/>
      <c r="T135" s="96">
        <f>R135-N135</f>
        <v>0</v>
      </c>
      <c r="U135" s="97" t="e">
        <f>R135/N135-1</f>
        <v>#DIV/0!</v>
      </c>
      <c r="X135" s="155"/>
      <c r="Y135" s="128"/>
      <c r="Z135" s="27">
        <f>Z134-Z129</f>
        <v>0.3999999612569809</v>
      </c>
      <c r="AB135" s="53"/>
      <c r="AC135" s="53">
        <f>AC134-AC129</f>
        <v>0</v>
      </c>
      <c r="AD135" s="53">
        <f t="shared" si="24"/>
        <v>-0.3999999612569809</v>
      </c>
      <c r="AE135" s="53">
        <f t="shared" si="22"/>
        <v>0</v>
      </c>
      <c r="AF135" s="156" t="s">
        <v>41</v>
      </c>
      <c r="AG135" s="156" t="s">
        <v>41</v>
      </c>
      <c r="AH135" s="27"/>
      <c r="AI135" s="73">
        <f>AI130+AH130+AG130+AF130</f>
        <v>0.03363644090630741</v>
      </c>
      <c r="AJ135" s="27"/>
      <c r="AK135" s="27"/>
      <c r="AL135" s="157"/>
      <c r="AM135" s="150">
        <f>AM134-Z134</f>
        <v>975535.400000006</v>
      </c>
    </row>
    <row r="136" spans="2:38" ht="4.5" customHeight="1">
      <c r="B136" s="29"/>
      <c r="E136" s="29"/>
      <c r="F136" s="29"/>
      <c r="G136" s="29"/>
      <c r="H136" s="29"/>
      <c r="I136" s="29"/>
      <c r="J136" s="29"/>
      <c r="K136" s="29"/>
      <c r="L136" s="29"/>
      <c r="R136" s="29"/>
      <c r="S136" s="29"/>
      <c r="T136" s="29"/>
      <c r="U136" s="29"/>
      <c r="V136" s="29"/>
      <c r="W136" s="29"/>
      <c r="X136" s="29"/>
      <c r="Y136" s="29"/>
      <c r="AF136" s="29"/>
      <c r="AG136" s="29"/>
      <c r="AH136" s="29"/>
      <c r="AI136" s="29"/>
      <c r="AJ136" s="29"/>
      <c r="AK136" s="29"/>
      <c r="AL136" s="29"/>
    </row>
  </sheetData>
  <sheetProtection/>
  <mergeCells count="11">
    <mergeCell ref="A7:B7"/>
    <mergeCell ref="A27:B27"/>
    <mergeCell ref="A124:B124"/>
    <mergeCell ref="A117:B117"/>
    <mergeCell ref="A58:B58"/>
    <mergeCell ref="A95:B95"/>
    <mergeCell ref="AF1:AI1"/>
    <mergeCell ref="A40:B40"/>
    <mergeCell ref="A48:B48"/>
    <mergeCell ref="A3:B3"/>
    <mergeCell ref="L3:N3"/>
  </mergeCells>
  <printOptions gridLines="1"/>
  <pageMargins left="0.5" right="0.5" top="1.5" bottom="1" header="0.5" footer="0.5"/>
  <pageSetup fitToHeight="6" horizontalDpi="600" verticalDpi="600" orientation="portrait" scale="89" r:id="rId4"/>
  <headerFooter alignWithMargins="0">
    <oddHeader>&amp;L&amp;"Arial,Bold"&amp;12&amp;U
&amp;U
&amp;C&amp;"Arial,Bold"&amp;12BOE Adopted Budget 
FY 2016-2017&amp;R&amp;"Arial,Italic"&amp;8&amp;D
&amp;T</oddHeader>
    <oddFooter>&amp;L&amp;"Arial,Italic"&amp;8&amp;P  of  &amp;N&amp;R&amp;"Arial,Italic"&amp;8&amp;Z&amp;F
&amp;A</oddFooter>
  </headerFooter>
  <rowBreaks count="2" manualBreakCount="2">
    <brk id="72" max="255" man="1"/>
    <brk id="10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Hamden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Michael Belden</cp:lastModifiedBy>
  <cp:lastPrinted>2016-03-03T18:49:54Z</cp:lastPrinted>
  <dcterms:created xsi:type="dcterms:W3CDTF">2009-12-07T16:14:53Z</dcterms:created>
  <dcterms:modified xsi:type="dcterms:W3CDTF">2016-03-03T21:00:39Z</dcterms:modified>
  <cp:category/>
  <cp:version/>
  <cp:contentType/>
  <cp:contentStatus/>
</cp:coreProperties>
</file>